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10.xml.rels" ContentType="application/vnd.openxmlformats-package.relationships+xml"/>
  <Override PartName="/xl/worksheets/_rels/sheet7.xml.rels" ContentType="application/vnd.openxmlformats-package.relationships+xml"/>
  <Override PartName="/xl/worksheets/_rels/sheet13.xml.rels" ContentType="application/vnd.openxmlformats-package.relationships+xml"/>
  <Override PartName="/xl/worksheets/_rels/sheet9.xml.rels" ContentType="application/vnd.openxmlformats-package.relationships+xml"/>
  <Override PartName="/xl/worksheets/_rels/sheet5.xml.rels" ContentType="application/vnd.openxmlformats-package.relationships+xml"/>
  <Override PartName="/xl/worksheets/_rels/sheet11.xml.rels" ContentType="application/vnd.openxmlformats-package.relationships+xml"/>
  <Override PartName="/xl/worksheets/_rels/sheet6.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00 Deckblatt" sheetId="1" state="visible" r:id="rId3"/>
    <sheet name="01 Cockpit" sheetId="2" state="visible" r:id="rId4"/>
    <sheet name="02 Annahmen" sheetId="3" state="visible" r:id="rId5"/>
    <sheet name="03 KV-Vergleich Detail" sheetId="4" state="visible" r:id="rId6"/>
    <sheet name="04 Vergleich Hauptgruppen" sheetId="5" state="visible" r:id="rId7"/>
    <sheet name="05 Delta-Analyse" sheetId="6" state="visible" r:id="rId8"/>
    <sheet name="06 Benchmarks CH" sheetId="7" state="visible" r:id="rId9"/>
    <sheet name="07 Flächen &amp; Grundstück" sheetId="8" state="visible" r:id="rId10"/>
    <sheet name="08 Ertrag &amp; Rendite" sheetId="9" state="visible" r:id="rId11"/>
    <sheet name="09 Sensitivitäten" sheetId="10" state="visible" r:id="rId12"/>
    <sheet name="10 Szenarien" sheetId="11" state="visible" r:id="rId13"/>
    <sheet name="11 Risiken &amp; Chancen" sheetId="12" state="visible" r:id="rId14"/>
    <sheet name="12 Gewinnaufteilung" sheetId="13" state="visible" r:id="rId15"/>
    <sheet name="13 Investor Summary" sheetId="14" state="visible" r:id="rId16"/>
    <sheet name="14 Glossar" sheetId="15" state="visible" r:id="rId17"/>
    <sheet name="15 Quellen &amp; Methodik" sheetId="16" state="visible" r:id="rId18"/>
  </sheets>
  <definedNames>
    <definedName function="false" hidden="true" localSheetId="3" name="_xlnm._FilterDatabase" vbProcedure="false">'03 KV-Vergleich Detail'!$A$7:$J$140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<sst xmlns="http://schemas.openxmlformats.org/spreadsheetml/2006/main" count="1571" uniqueCount="1137">
  <si>
    <t xml:space="preserve">CAMPUS ELGG  ·  GEWERBEPARK</t>
  </si>
  <si>
    <t xml:space="preserve">Kostenvoranschlag-Vergleich und Investorenanalyse</t>
  </si>
  <si>
    <t xml:space="preserve">Urbanstreet Development AG (Generalplaner) vs. Methabau AG (Generalunternehmer Hochbau)</t>
  </si>
  <si>
    <t xml:space="preserve">Gegenstand dieser Arbeitsmappe</t>
  </si>
  <si>
    <t xml:space="preserve">Diese Arbeitsmappe stellt den eigenen Kostenvoranschlag der Urbanstreet Development AG (Stand 23.10.2024, Genauigkeitsgrad ± 10 %) dem Generalunternehmer-Angebot der Methabau AG (Stand 16.04.2025) gegenüber und leitet daraus die Investorensicht ab: Kostenstruktur, Abweichungsanalyse, Schweizer Benchmarks, Ertrag und Rendite, Sensitivitäten, Szenarien, Risiken sowie die Gewinnaufteilung in der Baugesellschaft. Alle Zahlen sind aus der Ursprungsdatei «X_KV Vergleich URSMETHA.xlsx» übernommen; sämtliche Summen wurden gegen das Original abgeglichen.</t>
  </si>
  <si>
    <t xml:space="preserve">ECKWERTE</t>
  </si>
  <si>
    <t xml:space="preserve">Projekt</t>
  </si>
  <si>
    <t xml:space="preserve">Campus Elgg – Gewerbepark, Elgg ZH (Wirtschaftsraum Winterthur)</t>
  </si>
  <si>
    <t xml:space="preserve">Grundstücksfläche (GSF)</t>
  </si>
  <si>
    <t xml:space="preserve">27'118 m² (davon 23'716 m² Bauzone, Baufelder A–D)</t>
  </si>
  <si>
    <t xml:space="preserve">Geschossfläche (GF, SIA 416)</t>
  </si>
  <si>
    <t xml:space="preserve">24'486 m²</t>
  </si>
  <si>
    <t xml:space="preserve">Bauprogramm</t>
  </si>
  <si>
    <t xml:space="preserve">7 Gewerbehäuser + Mehrzweckgebäude, Etappierung gemäss Quartierplan</t>
  </si>
  <si>
    <t xml:space="preserve">Anlagekosten KV Urbanstreet</t>
  </si>
  <si>
    <t xml:space="preserve">CHF 76'000'000 (inkl. MwSt.)</t>
  </si>
  <si>
    <t xml:space="preserve">Anlagekosten Angebot Methabau</t>
  </si>
  <si>
    <t xml:space="preserve">CHF 75'335'790 (inkl. MwSt.)</t>
  </si>
  <si>
    <t xml:space="preserve">Differenz</t>
  </si>
  <si>
    <t xml:space="preserve">CHF –664'210  /  –0.87 %</t>
  </si>
  <si>
    <t xml:space="preserve">Genauigkeitsgrad</t>
  </si>
  <si>
    <t xml:space="preserve">Kostenvoranschlag ± 10 % (entspricht rd. ± CHF 7.6 Mio.)</t>
  </si>
  <si>
    <t xml:space="preserve">REGISTERÜBERSICHT</t>
  </si>
  <si>
    <t xml:space="preserve">01 Cockpit</t>
  </si>
  <si>
    <t xml:space="preserve">Kennzahlen auf einen Blick, Ampelbewertung, Hauptgrafiken</t>
  </si>
  <si>
    <t xml:space="preserve">02 Annahmen</t>
  </si>
  <si>
    <t xml:space="preserve">Alle Eingabewerte zentral – hier steuern Sie das Modell</t>
  </si>
  <si>
    <t xml:space="preserve">03 KV-Vergleich Detail</t>
  </si>
  <si>
    <t xml:space="preserve">Vollständiger BKP-Vergleich bis auf Positionsebene</t>
  </si>
  <si>
    <t xml:space="preserve">04 Vergleich Hauptgruppen</t>
  </si>
  <si>
    <t xml:space="preserve">Verdichtete Gegenüberstellung nach BKP-Hauptgruppen</t>
  </si>
  <si>
    <t xml:space="preserve">05 Delta-Analyse</t>
  </si>
  <si>
    <t xml:space="preserve">Wasserfall und Erklärung der Abweichungen</t>
  </si>
  <si>
    <t xml:space="preserve">06 Benchmarks CH</t>
  </si>
  <si>
    <t xml:space="preserve">CHF/m² GF, CHF/m³ GV, BKP-Anteile gegen Schweizer Richtwerte</t>
  </si>
  <si>
    <t xml:space="preserve">07 Flächen &amp; Grundstück</t>
  </si>
  <si>
    <t xml:space="preserve">Parzellen, Flächen, Landwerte, Ausnutzung</t>
  </si>
  <si>
    <t xml:space="preserve">08 Ertrag &amp; Rendite</t>
  </si>
  <si>
    <t xml:space="preserve">Mietertrag, NOI, Brutto-/Nettorendite, Ertragswert, Projektgewinn</t>
  </si>
  <si>
    <t xml:space="preserve">09 Sensitivitäten</t>
  </si>
  <si>
    <t xml:space="preserve">Baukosten × Kapitalisierungssatz, Mietzins × Kapitalisierungssatz</t>
  </si>
  <si>
    <t xml:space="preserve">10 Szenarien</t>
  </si>
  <si>
    <t xml:space="preserve">Worst / Base / Best mit durchgerechneten Ergebnissen</t>
  </si>
  <si>
    <t xml:space="preserve">11 Risiken &amp; Chancen</t>
  </si>
  <si>
    <t xml:space="preserve">Risikoregister mit Bewertung und Massnahmen</t>
  </si>
  <si>
    <t xml:space="preserve">12 Gewinnaufteilung</t>
  </si>
  <si>
    <t xml:space="preserve">Baugesellschaft, Partneranteile, Deal-Eckwerte – VERTRAULICH</t>
  </si>
  <si>
    <t xml:space="preserve">13 Investor Summary</t>
  </si>
  <si>
    <t xml:space="preserve">Beurteilung und Entscheidungsvorlage</t>
  </si>
  <si>
    <t xml:space="preserve">14 Glossar</t>
  </si>
  <si>
    <t xml:space="preserve">Fachbegriffe BKP, SIA, Kostengenauigkeit, Renditebegriffe</t>
  </si>
  <si>
    <t xml:space="preserve">15 Quellen &amp; Methodik</t>
  </si>
  <si>
    <t xml:space="preserve">Datenherkunft, Rechenwege, Abgrenzungen</t>
  </si>
  <si>
    <t xml:space="preserve">HINWEISE UND ABGRENZUNGEN</t>
  </si>
  <si>
    <t xml:space="preserve">1.  Beide Kalkulationen verstehen sich inkl. MwSt. Bei Optierung der Vermietung ist die MwSt. rückforderbar; Register 08 zeigt beide Sichten.
2.  Das Angebot Methabau ist eine GU-Pauschale für das Hochbauwerk. Unterhalb der BKP-Hauptgruppe 2 sind die beiden Kalkulationen deshalb nicht positionsweise vergleichbar – Register 03 kennzeichnet dies je Zeile.
3.  Die Ertragszahlen stammen aus dem Quick-Check der Ursprungsdatei und sind Grobwerte. Sie sind in Register 02 als Eingabewerte hinterlegt und vor jeder Entscheidung mit einer Marktabklärung zu unterlegen.
4.  Benchmarks in Register 06 sind Erfahrungsbandbreiten für den Schweizer Gewerbe- und Verwaltungsbau und als Eingabewerte änderbar. Sie ersetzen keine Kostenkennwertdatenbank (z. B. CRB / WKI).
5.  Diese Mappe ist eine Entscheidungsgrundlage, keine Bewertung nach anerkanntem Standard und keine Rechts-, Steuer- oder Anlageberatung.</t>
  </si>
  <si>
    <t xml:space="preserve">Erstellt</t>
  </si>
  <si>
    <t xml:space="preserve">31.08.2026  ·  auf Basis von «X_KV Vergleich URSMETHA.xlsx»</t>
  </si>
  <si>
    <t xml:space="preserve">Klassifizierung</t>
  </si>
  <si>
    <t xml:space="preserve">VERTRAULICH – enthält Deal- und Gewinnverteilungsdaten (Register 12)</t>
  </si>
  <si>
    <t xml:space="preserve">Cockpit</t>
  </si>
  <si>
    <t xml:space="preserve">Die zwölf Zahlen, auf die es ankommt – alles Übrige ist Herleitung.</t>
  </si>
  <si>
    <t xml:space="preserve">KOSTEN</t>
  </si>
  <si>
    <t xml:space="preserve">KV URBANSTREET</t>
  </si>
  <si>
    <t xml:space="preserve">ANGEBOT METHABAU</t>
  </si>
  <si>
    <t xml:space="preserve">DIFFERENZ</t>
  </si>
  <si>
    <t xml:space="preserve">DIFFERENZ IN %</t>
  </si>
  <si>
    <t xml:space="preserve">KV-TOLERANZ ± 10 %</t>
  </si>
  <si>
    <t xml:space="preserve">ANLAGEKOSTEN JE m² GF</t>
  </si>
  <si>
    <t xml:space="preserve">Anlagekosten inkl. MwSt., Stand 23.10.2024</t>
  </si>
  <si>
    <t xml:space="preserve">Anlagekosten inkl. MwSt., Stand 16.04.2025</t>
  </si>
  <si>
    <t xml:space="preserve">Methabau günstiger – das sind 8.7 % der KV-Toleranz</t>
  </si>
  <si>
    <t xml:space="preserve">statistisch nicht unterscheidbar bei ± 10 % Genauigkeit</t>
  </si>
  <si>
    <t xml:space="preserve">Bandbreite des Kostenvoranschlags – elfmal so gross wie die Differenz</t>
  </si>
  <si>
    <t xml:space="preserve">Richtwert Gewerbebau inkl. Land: 2'400–3'600</t>
  </si>
  <si>
    <t xml:space="preserve">STRUKTUR UND ABWEICHUNG</t>
  </si>
  <si>
    <t xml:space="preserve">GEBÄUDE BKP 2</t>
  </si>
  <si>
    <t xml:space="preserve">Δ PLANERHONORARE</t>
  </si>
  <si>
    <t xml:space="preserve">Δ HOCHBAULEISTUNGEN</t>
  </si>
  <si>
    <t xml:space="preserve">BKP 2 JE m³ GV</t>
  </si>
  <si>
    <t xml:space="preserve">RESERVE BKP 63</t>
  </si>
  <si>
    <t xml:space="preserve">LANDANTEIL</t>
  </si>
  <si>
    <t xml:space="preserve">60 % der Anlagekosten – die einzige Abweichungsquelle</t>
  </si>
  <si>
    <t xml:space="preserve">Leistungen wandern in den GU-Werkvertrag, keine Einsparung</t>
  </si>
  <si>
    <t xml:space="preserve">+2.7 % Risikozuschlag des GU – ungewöhnlich tief</t>
  </si>
  <si>
    <t xml:space="preserve">Richtwert Gewerbebau 500–750 CHF/m³</t>
  </si>
  <si>
    <t xml:space="preserve">in % Erstellungskosten – Richtwert 5–10 %</t>
  </si>
  <si>
    <t xml:space="preserve">an den Anlagekosten – Richtwert 15–25 %</t>
  </si>
  <si>
    <t xml:space="preserve">ERTRAG, RENDITE UND RISIKO</t>
  </si>
  <si>
    <t xml:space="preserve">SOLL-MIETERTRAG</t>
  </si>
  <si>
    <t xml:space="preserve">NETTOMIETERTRAG NOI</t>
  </si>
  <si>
    <t xml:space="preserve">BRUTTORENDITE</t>
  </si>
  <si>
    <t xml:space="preserve">NETTORENDITE</t>
  </si>
  <si>
    <t xml:space="preserve">PROJEKTMARGE</t>
  </si>
  <si>
    <t xml:space="preserve">PUFFER KAPITALISIERUNG</t>
  </si>
  <si>
    <t xml:space="preserve">bei Vollvermietung, Ansätze aus dem Quick-Check</t>
  </si>
  <si>
    <t xml:space="preserve">nach Leerstand und nicht überwälzbaren Kosten</t>
  </si>
  <si>
    <t xml:space="preserve">Soll-Mietertrag auf Anlagekosten inkl. MwSt.</t>
  </si>
  <si>
    <t xml:space="preserve">NOI auf Anlagekosten inkl. MwSt.</t>
  </si>
  <si>
    <t xml:space="preserve">Richtwert Entwicklungsprojekt CH 8–15 %</t>
  </si>
  <si>
    <t xml:space="preserve">bis der Projektgewinn null wird</t>
  </si>
  <si>
    <t xml:space="preserve">SZENARIEN – PROJEKTGEWINN</t>
  </si>
  <si>
    <t xml:space="preserve">WORST CASE</t>
  </si>
  <si>
    <t xml:space="preserve">BASE CASE</t>
  </si>
  <si>
    <t xml:space="preserve">BEST CASE</t>
  </si>
  <si>
    <t xml:space="preserve">MwSt-POTENZIAL</t>
  </si>
  <si>
    <t xml:space="preserve">RISIKO-ERWARTUNGSWERT</t>
  </si>
  <si>
    <t xml:space="preserve">BREAK-EVEN MIETERTRAG</t>
  </si>
  <si>
    <t xml:space="preserve">obere Kostentoleranz, –15 % Mietzins, 4.75 % Kapitalisierung</t>
  </si>
  <si>
    <t xml:space="preserve">Annahmen der Ursprungsdatei unverändert</t>
  </si>
  <si>
    <t xml:space="preserve">–3 % Baukosten, +5 % Mietzins, 3.90 % Kapitalisierung</t>
  </si>
  <si>
    <t xml:space="preserve">rückforderbar bei Optierung der Vermietung</t>
  </si>
  <si>
    <t xml:space="preserve">Summe der Einzelrisiken, Register 11 – nicht kumulierbar, nur Grössenordnung</t>
  </si>
  <si>
    <t xml:space="preserve">Soll-Mietertrag, bei dem der Gewinn null wird</t>
  </si>
  <si>
    <t xml:space="preserve">AMPELBEURTEILUNG</t>
  </si>
  <si>
    <t xml:space="preserve">Themenfeld</t>
  </si>
  <si>
    <t xml:space="preserve">Ampel</t>
  </si>
  <si>
    <t xml:space="preserve">Begründung</t>
  </si>
  <si>
    <t xml:space="preserve">Kostensicherheit</t>
  </si>
  <si>
    <t xml:space="preserve">Die beiden Kalkulationen liegen 0.9 % auseinander – der eigene KV ist bestätigt.</t>
  </si>
  <si>
    <t xml:space="preserve">Reservenausstattung</t>
  </si>
  <si>
    <t xml:space="preserve">Reserve für Unvorhergesehenes deutlich unter dem, was ein KV mit ± 10 % verlangt.</t>
  </si>
  <si>
    <t xml:space="preserve">Renditeniveau</t>
  </si>
  <si>
    <t xml:space="preserve">Projektmarge im Basisfall im Verhältnis zum Richtwert 8–15 %.</t>
  </si>
  <si>
    <t xml:space="preserve">Ertragsbasis</t>
  </si>
  <si>
    <t xml:space="preserve">Mietzinsansätze stammen aus einem Quick-Check ohne Marktabklärung.</t>
  </si>
  <si>
    <t xml:space="preserve">Vertragssicherheit GU</t>
  </si>
  <si>
    <t xml:space="preserve">Pauschale von CHF 37.6 Mio. ohne Positionsspiegel; Bonität und Garantien noch offen.</t>
  </si>
  <si>
    <t xml:space="preserve">Partnerstruktur</t>
  </si>
  <si>
    <t xml:space="preserve">Zwei Partner sind zugleich Unternehmer – Drittvergleich zu dokumentieren.</t>
  </si>
  <si>
    <t xml:space="preserve">DIE KERNAUSSAGE IN VIER SÄTZEN</t>
  </si>
  <si>
    <t xml:space="preserve">Das Angebot der Methabau AG bestätigt den eigenen Kostenvoranschlag der Urbanstreet Development AG. Die Differenz von CHF 664'210 entspricht 0.9 % und liegt weit innerhalb der Toleranz von ± 10 %, die ein Kostenvoranschlag dieser Bearbeitungstiefe trägt – die beiden Zahlen sind rechnerisch gleichwertig.
Der eigentliche Unterschied ist kein Preis-, sondern ein Risikounterschied: Für einen Aufpreis von 2.7 % auf die Hochbauleistungen übernimmt der Generalunternehmer Kosten-, Termin- und Qualitätsrisiko, während CHF 1.69 Mio. Planerhonorare von der Bauherrenseite in den Werkvertrag wandern.
Die Renditeseite ist der eigentliche Engpass, nicht die Kostenseite. Mit den Ansätzen der Ursprungsdatei bleibt im Basisfall eine Projektmarge von rund 1.2 % – bei einem Richtwert von 8–15 % für Schweizer Entwicklungsprojekte. Der Puffer bis zum Break-even beträgt einen halben Zehntelprozentpunkt beim Kapitalisierungssatz und 1.9 % beim Mietertrag. Dazu kommt eine Reserve für Unvorhergesehenes von nur 2.5 % der Erstellungskosten, die für einen Kostenvoranschlag mit ± 10 % Toleranz zu knapp bemessen ist.
Vor der Vergabe sind drei Dinge zu klären: der Positionsspiegel zur GU-Pauschale von CHF 37.6 Mio., eine Marktabklärung zu den Mietzinsansätzen, und die Behandlung der Mehrwertsteuer – bei Optierung stehen rund CHF 4.6 Mio. Vorsteuer zur Rückforderung.</t>
  </si>
  <si>
    <t xml:space="preserve">Annahmen und Steuerung</t>
  </si>
  <si>
    <t xml:space="preserve">Alle blau hinterlegten Zellen sind Eingabewerte. Änderungen wirken auf alle abhängigen Register.</t>
  </si>
  <si>
    <t xml:space="preserve">Legende:</t>
  </si>
  <si>
    <t xml:space="preserve">blaue Zahl = Eingabewert (frei änderbar)</t>
  </si>
  <si>
    <t xml:space="preserve">schwarze Zahl = Formel</t>
  </si>
  <si>
    <t xml:space="preserve">grüne Zahl = Verknüpfung anderes Register</t>
  </si>
  <si>
    <t xml:space="preserve">PROJEKT</t>
  </si>
  <si>
    <t xml:space="preserve">Campus Elgg – Gewerbepark</t>
  </si>
  <si>
    <t xml:space="preserve">Elgg ZH, Wirtschaftsraum Winterthur</t>
  </si>
  <si>
    <t xml:space="preserve">Bauherrschaft</t>
  </si>
  <si>
    <t xml:space="preserve">Baugesellschaft Campus Elgg</t>
  </si>
  <si>
    <t xml:space="preserve">Keller AG Ziegeleien · Keller Prefadom AG · Skyline Properties GmbH · Urbanstreet</t>
  </si>
  <si>
    <t xml:space="preserve">Entwickler / Gesamtleitung</t>
  </si>
  <si>
    <t xml:space="preserve">Urbanstreet Development AG</t>
  </si>
  <si>
    <t xml:space="preserve">Küsnacht ZH</t>
  </si>
  <si>
    <t xml:space="preserve">Anbieter GU Hochbau</t>
  </si>
  <si>
    <t xml:space="preserve">Methabau AG</t>
  </si>
  <si>
    <t xml:space="preserve">Offerte vom 16.04.2025</t>
  </si>
  <si>
    <t xml:space="preserve">Stand KV Urbanstreet</t>
  </si>
  <si>
    <t xml:space="preserve">23.10.2024</t>
  </si>
  <si>
    <t xml:space="preserve">Bearbeitung zin/cru</t>
  </si>
  <si>
    <t xml:space="preserve">Genauigkeitsgrad Kostenvoranschlag</t>
  </si>
  <si>
    <t xml:space="preserve">± %</t>
  </si>
  <si>
    <t xml:space="preserve">Kostenvoranschlag nach SN 506 511 / SIA 102: Toleranz ± 10 %</t>
  </si>
  <si>
    <t xml:space="preserve">FLÄCHEN UND VOLUMEN</t>
  </si>
  <si>
    <t xml:space="preserve">Grundstücksfläche total (GSF)</t>
  </si>
  <si>
    <t xml:space="preserve">m²</t>
  </si>
  <si>
    <t xml:space="preserve">Register «B_Basis Vertrag L&amp;E» der Ursprungsdatei</t>
  </si>
  <si>
    <t xml:space="preserve">davon Bauzone (Baufelder A–D)</t>
  </si>
  <si>
    <t xml:space="preserve">Register «Y – Baugesellschaft» der Ursprungsdatei</t>
  </si>
  <si>
    <t xml:space="preserve">Summe der drei Parzellen gemäss Basisvertrag</t>
  </si>
  <si>
    <t xml:space="preserve">Ausnutzung GF / GSF</t>
  </si>
  <si>
    <t xml:space="preserve">–</t>
  </si>
  <si>
    <t xml:space="preserve">Rechenwert</t>
  </si>
  <si>
    <t xml:space="preserve">Gebäudevolumen (GV, SIA 416)</t>
  </si>
  <si>
    <t xml:space="preserve">m³</t>
  </si>
  <si>
    <t xml:space="preserve">ANNAHME: 7 × 10'000 m³ gemäss Quick-Check – zu verifizieren</t>
  </si>
  <si>
    <t xml:space="preserve">Anzahl Gewerbehäuser</t>
  </si>
  <si>
    <t xml:space="preserve">Stk</t>
  </si>
  <si>
    <t xml:space="preserve">Register «Y» der Ursprungsdatei</t>
  </si>
  <si>
    <t xml:space="preserve">Anlagekosten KV Urbanstreet (inkl. MwSt.)</t>
  </si>
  <si>
    <t xml:space="preserve">CHF</t>
  </si>
  <si>
    <t xml:space="preserve">Verknüpfung Register 04</t>
  </si>
  <si>
    <t xml:space="preserve">Anlagekosten Angebot Methabau (inkl. MwSt.)</t>
  </si>
  <si>
    <t xml:space="preserve">Differenz Methabau ./. Urbanstreet</t>
  </si>
  <si>
    <t xml:space="preserve">negativ = Angebot günstiger</t>
  </si>
  <si>
    <t xml:space="preserve">Differenz in %</t>
  </si>
  <si>
    <t xml:space="preserve">%</t>
  </si>
  <si>
    <t xml:space="preserve">Massgebende Kalkulation  (1 = Urbanstreet / 2 = Methabau)</t>
  </si>
  <si>
    <t xml:space="preserve">1|2</t>
  </si>
  <si>
    <t xml:space="preserve">Steuerzelle: bestimmt, mit welchen Kosten alle Folgeregister rechnen</t>
  </si>
  <si>
    <t xml:space="preserve">Massgebende Anlagekosten</t>
  </si>
  <si>
    <t xml:space="preserve">Rechenwert aus Steuerzelle C28</t>
  </si>
  <si>
    <t xml:space="preserve">davon Grundstück (BKP 0)</t>
  </si>
  <si>
    <t xml:space="preserve">nicht mehrwertsteuerpflichtig</t>
  </si>
  <si>
    <t xml:space="preserve">Erstellungskosten (BKP 1–6)</t>
  </si>
  <si>
    <t xml:space="preserve">mehrwertsteuerpflichtige Basis</t>
  </si>
  <si>
    <t xml:space="preserve">MwSt-Satz</t>
  </si>
  <si>
    <t xml:space="preserve">Normalsatz Schweiz seit 01.01.2024</t>
  </si>
  <si>
    <t xml:space="preserve">Anlagekosten exkl. MwSt. (bei Optierung)</t>
  </si>
  <si>
    <t xml:space="preserve">relevant, wenn die Vermietung der MwSt. unterstellt wird</t>
  </si>
  <si>
    <t xml:space="preserve">MwSt-Rückforderungspotenzial</t>
  </si>
  <si>
    <t xml:space="preserve">Liquiditäts- und Renditehebel bei Optierung</t>
  </si>
  <si>
    <t xml:space="preserve">ERTRAGSANNAHMEN  (Grobwerte aus Quick-Check – zu validieren)</t>
  </si>
  <si>
    <t xml:space="preserve">Gewerbefläche je Gewerbehaus</t>
  </si>
  <si>
    <t xml:space="preserve">Quick-Check Ursprungsdatei</t>
  </si>
  <si>
    <t xml:space="preserve">Mietzins Gewerbe</t>
  </si>
  <si>
    <t xml:space="preserve">CHF/m²/J</t>
  </si>
  <si>
    <t xml:space="preserve">Quick-Check Ursprungsdatei – Marktabklärung erforderlich</t>
  </si>
  <si>
    <t xml:space="preserve">Fläche Wohnen/Büro je Gewerbehaus</t>
  </si>
  <si>
    <t xml:space="preserve">Mietzins Wohnen/Büro</t>
  </si>
  <si>
    <t xml:space="preserve">Parkplätze je Gewerbehaus</t>
  </si>
  <si>
    <t xml:space="preserve">Mietzins Parkplatz</t>
  </si>
  <si>
    <t xml:space="preserve">CHF/Mt</t>
  </si>
  <si>
    <t xml:space="preserve">Mehrzweckgebäude – Fläche</t>
  </si>
  <si>
    <t xml:space="preserve">Mehrzweckgebäude – Mietzins</t>
  </si>
  <si>
    <t xml:space="preserve">Mehrzweckgebäude – Parkplätze</t>
  </si>
  <si>
    <t xml:space="preserve">Mehrzweckgebäude – Mietzins Parkplatz</t>
  </si>
  <si>
    <t xml:space="preserve">BEWIRTSCHAFTUNG UND BEWERTUNG</t>
  </si>
  <si>
    <t xml:space="preserve">Leerstands- und Mietzinsausfallrate</t>
  </si>
  <si>
    <t xml:space="preserve">Annahme; Gewerbeliegenschaft in peripherer Lage – eher höher ansetzen</t>
  </si>
  <si>
    <t xml:space="preserve">Betriebs- und Unterhaltskosten (nicht überwälzbar)</t>
  </si>
  <si>
    <t xml:space="preserve">% Soll</t>
  </si>
  <si>
    <t xml:space="preserve">Annahme; Erfahrungswert Gewerbe 10–15 % des Soll-Mietertrags</t>
  </si>
  <si>
    <t xml:space="preserve">Kapitalisierungssatz (Bewertung / Exit)</t>
  </si>
  <si>
    <t xml:space="preserve">Annahme; Gewerbe Sekundärlage CH – marktabhängig, Register 09 zeigt Bandbreite</t>
  </si>
  <si>
    <t xml:space="preserve">Verkaufs- und Transaktionskosten</t>
  </si>
  <si>
    <t xml:space="preserve">% Wert</t>
  </si>
  <si>
    <t xml:space="preserve">Annahme; Makler, Notariat, Handänderung</t>
  </si>
  <si>
    <t xml:space="preserve">FINANZIERUNG UND ZEIT</t>
  </si>
  <si>
    <t xml:space="preserve">Fremdkapitalquote</t>
  </si>
  <si>
    <t xml:space="preserve">Annahme Baukredit / Hypothek</t>
  </si>
  <si>
    <t xml:space="preserve">Zinssatz Fremdkapital</t>
  </si>
  <si>
    <t xml:space="preserve">Annahme; in BKP 61 sind CHF 706'000 Bauzinsen budgetiert</t>
  </si>
  <si>
    <t xml:space="preserve">Bauzeit</t>
  </si>
  <si>
    <t xml:space="preserve">Monate</t>
  </si>
  <si>
    <t xml:space="preserve">Annahme</t>
  </si>
  <si>
    <t xml:space="preserve">Eigenkapitaleinsatz</t>
  </si>
  <si>
    <t xml:space="preserve">Rechnerischer Bauzins über Bauzeit</t>
  </si>
  <si>
    <t xml:space="preserve">Durchschnittliche Inanspruchnahme 50 % über die Bauzeit – Vergleich zu BKP 61</t>
  </si>
  <si>
    <t xml:space="preserve">Budgetierte Bauzinsen BKP 61</t>
  </si>
  <si>
    <t xml:space="preserve">aus Kostenvoranschlag</t>
  </si>
  <si>
    <t xml:space="preserve">Über-/Unterdeckung Bauzinsen</t>
  </si>
  <si>
    <t xml:space="preserve">negativ = Budget zu knapp</t>
  </si>
  <si>
    <t xml:space="preserve">Kostenvoranschlag-Vergleich nach BKP – Detailebene</t>
  </si>
  <si>
    <t xml:space="preserve">Kalkulation Urbanstreet (23.10.2024) gegen GU-Angebot Methabau (16.04.2025), beide inkl. MwSt.</t>
  </si>
  <si>
    <t xml:space="preserve">BKP</t>
  </si>
  <si>
    <t xml:space="preserve">Kostengattung</t>
  </si>
  <si>
    <t xml:space="preserve">KV Urbanstreet
CHF inkl. MwSt.</t>
  </si>
  <si>
    <t xml:space="preserve">% AK</t>
  </si>
  <si>
    <t xml:space="preserve">Angebot Methabau
CHF inkl. MwSt.</t>
  </si>
  <si>
    <t xml:space="preserve">Δ Methabau
./. Urbanstreet</t>
  </si>
  <si>
    <t xml:space="preserve">Δ %</t>
  </si>
  <si>
    <t xml:space="preserve">Vergleichbarkeit</t>
  </si>
  <si>
    <t xml:space="preserve">Bemerkung</t>
  </si>
  <si>
    <t xml:space="preserve">0</t>
  </si>
  <si>
    <t xml:space="preserve">Grundstück</t>
  </si>
  <si>
    <t xml:space="preserve">identisch</t>
  </si>
  <si>
    <t xml:space="preserve">Landerwerb und Entwicklung – in beiden Kalkulationen deckungsgleich</t>
  </si>
  <si>
    <t xml:space="preserve">00</t>
  </si>
  <si>
    <t xml:space="preserve">Entwicklung Grundstück und Landerwerb</t>
  </si>
  <si>
    <t xml:space="preserve">001</t>
  </si>
  <si>
    <t xml:space="preserve">Entwicklungskosten Projekt Urbanstreet Development</t>
  </si>
  <si>
    <t xml:space="preserve">Vorleistung Entwickler, gemäss Entwicklungsvertrag</t>
  </si>
  <si>
    <t xml:space="preserve">002</t>
  </si>
  <si>
    <t xml:space="preserve">Landerwerbsanteil Skyline Properties GmbH</t>
  </si>
  <si>
    <t xml:space="preserve">003</t>
  </si>
  <si>
    <t xml:space="preserve">Landerwerb Parzelle Nr. EL4893, Keller AG Ziegeleien, 4'958 m²</t>
  </si>
  <si>
    <t xml:space="preserve">CHF 380/m² GSF</t>
  </si>
  <si>
    <t xml:space="preserve">004</t>
  </si>
  <si>
    <t xml:space="preserve">Landerwerb Parzelle Nr. EL4894, Keller Prefadom AG, 8'669 m² inkl. Landwirtschaftsland</t>
  </si>
  <si>
    <t xml:space="preserve">CHF 260/m² GSF (gemischt Bauzone/LW)</t>
  </si>
  <si>
    <t xml:space="preserve">005</t>
  </si>
  <si>
    <t xml:space="preserve">Landerwerb Parzelle Nr. EL5530, R. Müller, 13'461 m²</t>
  </si>
  <si>
    <t xml:space="preserve">CHF 423/m² GSF; Baurechtszins 4 J. à 3 % = CHF 684'000 nicht in AK enthalten</t>
  </si>
  <si>
    <t xml:space="preserve">006</t>
  </si>
  <si>
    <t xml:space="preserve">Entwicklung Nebenkosten (Recht, Notariat)</t>
  </si>
  <si>
    <t xml:space="preserve">1</t>
  </si>
  <si>
    <t xml:space="preserve">Vorbereitungsarbeiten (inkl. GU Tiefbau &amp; Umgebung)</t>
  </si>
  <si>
    <t xml:space="preserve">Pauschalvertrag Tiefbau – in beiden Kalkulationen identisch</t>
  </si>
  <si>
    <t xml:space="preserve">10</t>
  </si>
  <si>
    <t xml:space="preserve">GU Tiefbau, inkl. Baugrube und Umgebung</t>
  </si>
  <si>
    <t xml:space="preserve">101</t>
  </si>
  <si>
    <t xml:space="preserve">Pauschalposition BKP 1 &amp; 4, GU Tiefbau</t>
  </si>
  <si>
    <t xml:space="preserve">Pauschale; Baugrube hier enthalten, nicht unter BKP 20</t>
  </si>
  <si>
    <t xml:space="preserve">2</t>
  </si>
  <si>
    <t xml:space="preserve">Gebäude</t>
  </si>
  <si>
    <t xml:space="preserve">nur aggregiert</t>
  </si>
  <si>
    <t xml:space="preserve">Nur auf Stufe Hauptgruppe vergleichbar – Methabau offeriert das Hochbauwerk als GU-Pauschale</t>
  </si>
  <si>
    <t xml:space="preserve">20</t>
  </si>
  <si>
    <t xml:space="preserve">Baugrube (URS: in BKP 101) / GU-Pauschale übriges BKP 2 (Methabau)</t>
  </si>
  <si>
    <t xml:space="preserve">GU-Pauschale</t>
  </si>
  <si>
    <t xml:space="preserve">Methabau bündelt Rohbau 2, HLKS, Elektro, Ausbau 1+2 und Transportanlagen in einer Pauschale</t>
  </si>
  <si>
    <t xml:space="preserve">21</t>
  </si>
  <si>
    <t xml:space="preserve">Rohbau 1</t>
  </si>
  <si>
    <t xml:space="preserve">Methabau weist nur die Baustelleneinrichtung separat aus</t>
  </si>
  <si>
    <t xml:space="preserve">211</t>
  </si>
  <si>
    <t xml:space="preserve">Baustelleneinrichtung</t>
  </si>
  <si>
    <t xml:space="preserve">211.1</t>
  </si>
  <si>
    <t xml:space="preserve">Gerüste</t>
  </si>
  <si>
    <t xml:space="preserve">211.5</t>
  </si>
  <si>
    <t xml:space="preserve">Stahlbetonarbeiten</t>
  </si>
  <si>
    <t xml:space="preserve">211.6</t>
  </si>
  <si>
    <t xml:space="preserve">Maurerarbeiten</t>
  </si>
  <si>
    <t xml:space="preserve">211.7</t>
  </si>
  <si>
    <t xml:space="preserve">Instandsetzungsarbeiten</t>
  </si>
  <si>
    <t xml:space="preserve">211.8</t>
  </si>
  <si>
    <t xml:space="preserve">Witterungsbedingte Massnahmen</t>
  </si>
  <si>
    <t xml:space="preserve">213.2</t>
  </si>
  <si>
    <t xml:space="preserve">Stahlkonstruktionen</t>
  </si>
  <si>
    <t xml:space="preserve">214.9</t>
  </si>
  <si>
    <t xml:space="preserve">Trennwände Keller</t>
  </si>
  <si>
    <t xml:space="preserve">22</t>
  </si>
  <si>
    <t xml:space="preserve">Rohbau 2</t>
  </si>
  <si>
    <t xml:space="preserve">vollständig in GU-Pauschale BKP 20 enthalten</t>
  </si>
  <si>
    <t xml:space="preserve">221</t>
  </si>
  <si>
    <t xml:space="preserve">Fenster, Aussentüren, Tore</t>
  </si>
  <si>
    <t xml:space="preserve">221.1</t>
  </si>
  <si>
    <t xml:space="preserve">Fenster aus Holz-Metall</t>
  </si>
  <si>
    <t xml:space="preserve">221.6</t>
  </si>
  <si>
    <t xml:space="preserve">Aussentore aus Metall</t>
  </si>
  <si>
    <t xml:space="preserve">221.7</t>
  </si>
  <si>
    <t xml:space="preserve">Aussentüren aus Metall</t>
  </si>
  <si>
    <t xml:space="preserve">222</t>
  </si>
  <si>
    <t xml:space="preserve">Spenglerarbeiten (in BKP 224 enthalten)</t>
  </si>
  <si>
    <t xml:space="preserve">224</t>
  </si>
  <si>
    <t xml:space="preserve">Bedachungsarbeiten</t>
  </si>
  <si>
    <t xml:space="preserve">224.1</t>
  </si>
  <si>
    <t xml:space="preserve">Dichtungsbeläge Flachdächer</t>
  </si>
  <si>
    <t xml:space="preserve">224.3</t>
  </si>
  <si>
    <t xml:space="preserve">Glaseinbauten in Flachdächern</t>
  </si>
  <si>
    <t xml:space="preserve">225</t>
  </si>
  <si>
    <t xml:space="preserve">Spezielle Abdichtungen und Dämmungen</t>
  </si>
  <si>
    <t xml:space="preserve">225.4</t>
  </si>
  <si>
    <t xml:space="preserve">Brandschutzbekleidung</t>
  </si>
  <si>
    <t xml:space="preserve">226</t>
  </si>
  <si>
    <t xml:space="preserve">Fassaden</t>
  </si>
  <si>
    <t xml:space="preserve">226.1</t>
  </si>
  <si>
    <t xml:space="preserve">Aussenputze, Fassadensystem</t>
  </si>
  <si>
    <t xml:space="preserve">228</t>
  </si>
  <si>
    <t xml:space="preserve">Sonnenschutz</t>
  </si>
  <si>
    <t xml:space="preserve">228.2</t>
  </si>
  <si>
    <t xml:space="preserve">Storen Fenster</t>
  </si>
  <si>
    <t xml:space="preserve">228.3</t>
  </si>
  <si>
    <t xml:space="preserve">Sonnenstoren (keine geplant)</t>
  </si>
  <si>
    <t xml:space="preserve">23</t>
  </si>
  <si>
    <t xml:space="preserve">Elektroanlagen</t>
  </si>
  <si>
    <t xml:space="preserve">Nur die PV-Vorbereitung ist in beiden Kalkulationen separat ausgewiesen</t>
  </si>
  <si>
    <t xml:space="preserve">231</t>
  </si>
  <si>
    <t xml:space="preserve">23x</t>
  </si>
  <si>
    <t xml:space="preserve">Elektromobilität (inkl. 40 Ladestationen)</t>
  </si>
  <si>
    <t xml:space="preserve">23y</t>
  </si>
  <si>
    <t xml:space="preserve">Photovoltaikanlage (nur Vorbereitung)</t>
  </si>
  <si>
    <t xml:space="preserve">Betrag Methabau zur Vergleichbarkeit auch bei URS eingesetzt (Original-Anmerkung)</t>
  </si>
  <si>
    <t xml:space="preserve">24</t>
  </si>
  <si>
    <t xml:space="preserve">HLK-Anlagen</t>
  </si>
  <si>
    <t xml:space="preserve">241</t>
  </si>
  <si>
    <t xml:space="preserve">Heizungsanlagen (inkl. 242 &amp; 243)</t>
  </si>
  <si>
    <t xml:space="preserve">242</t>
  </si>
  <si>
    <t xml:space="preserve">Wärmeerzeugung</t>
  </si>
  <si>
    <t xml:space="preserve">243</t>
  </si>
  <si>
    <t xml:space="preserve">Wärmeverteilung</t>
  </si>
  <si>
    <t xml:space="preserve">244</t>
  </si>
  <si>
    <t xml:space="preserve">Lüftungsanlagen</t>
  </si>
  <si>
    <t xml:space="preserve">25</t>
  </si>
  <si>
    <t xml:space="preserve">Sanitäranlagen</t>
  </si>
  <si>
    <t xml:space="preserve">251</t>
  </si>
  <si>
    <t xml:space="preserve">Allgemeine Sanitärapparate</t>
  </si>
  <si>
    <t xml:space="preserve">252</t>
  </si>
  <si>
    <t xml:space="preserve">Spezielle Sanitärapparate</t>
  </si>
  <si>
    <t xml:space="preserve">258</t>
  </si>
  <si>
    <t xml:space="preserve">Kücheneinrichtungen</t>
  </si>
  <si>
    <t xml:space="preserve">26</t>
  </si>
  <si>
    <t xml:space="preserve">Transportanlagen</t>
  </si>
  <si>
    <t xml:space="preserve">261</t>
  </si>
  <si>
    <t xml:space="preserve">Aufzüge</t>
  </si>
  <si>
    <t xml:space="preserve">27</t>
  </si>
  <si>
    <t xml:space="preserve">Ausbau 1</t>
  </si>
  <si>
    <t xml:space="preserve">271</t>
  </si>
  <si>
    <t xml:space="preserve">Gipserarbeiten</t>
  </si>
  <si>
    <t xml:space="preserve">271.0</t>
  </si>
  <si>
    <t xml:space="preserve">Verputzarbeiten</t>
  </si>
  <si>
    <t xml:space="preserve">271.1</t>
  </si>
  <si>
    <t xml:space="preserve">Spezielle Gipsarbeiten</t>
  </si>
  <si>
    <t xml:space="preserve">272</t>
  </si>
  <si>
    <t xml:space="preserve">Metallbauarbeiten</t>
  </si>
  <si>
    <t xml:space="preserve">272.1</t>
  </si>
  <si>
    <t xml:space="preserve">Metallbaufertigteile, Briefkästen</t>
  </si>
  <si>
    <t xml:space="preserve">272.2</t>
  </si>
  <si>
    <t xml:space="preserve">Allgemeine Metallbauarbeiten</t>
  </si>
  <si>
    <t xml:space="preserve">273</t>
  </si>
  <si>
    <t xml:space="preserve">Schreinerarbeiten</t>
  </si>
  <si>
    <t xml:space="preserve">273.0</t>
  </si>
  <si>
    <t xml:space="preserve">Innentüren</t>
  </si>
  <si>
    <t xml:space="preserve">273.1</t>
  </si>
  <si>
    <t xml:space="preserve">Wandschränke, Gestelle u. dgl.</t>
  </si>
  <si>
    <t xml:space="preserve">273.3</t>
  </si>
  <si>
    <t xml:space="preserve">Allgemeine Schreinerarbeiten</t>
  </si>
  <si>
    <t xml:space="preserve">275</t>
  </si>
  <si>
    <t xml:space="preserve">Schliessanlagen</t>
  </si>
  <si>
    <t xml:space="preserve">276</t>
  </si>
  <si>
    <t xml:space="preserve">Vorhangschienen</t>
  </si>
  <si>
    <t xml:space="preserve">277</t>
  </si>
  <si>
    <t xml:space="preserve">Elementwände / Garderobe UG</t>
  </si>
  <si>
    <t xml:space="preserve">277.9</t>
  </si>
  <si>
    <t xml:space="preserve">Reserve Ausbau 1</t>
  </si>
  <si>
    <t xml:space="preserve">28</t>
  </si>
  <si>
    <t xml:space="preserve">Ausbau 2</t>
  </si>
  <si>
    <t xml:space="preserve">281</t>
  </si>
  <si>
    <t xml:space="preserve">Bodenbeläge</t>
  </si>
  <si>
    <t xml:space="preserve">281.0</t>
  </si>
  <si>
    <t xml:space="preserve">Unterlagsboden</t>
  </si>
  <si>
    <t xml:space="preserve">281.6</t>
  </si>
  <si>
    <t xml:space="preserve">Bodenbeläge aus Platten</t>
  </si>
  <si>
    <t xml:space="preserve">281.7</t>
  </si>
  <si>
    <t xml:space="preserve">Bodenbeläge Holz</t>
  </si>
  <si>
    <t xml:space="preserve">281.8</t>
  </si>
  <si>
    <t xml:space="preserve">Terrassenbeläge</t>
  </si>
  <si>
    <t xml:space="preserve">282</t>
  </si>
  <si>
    <t xml:space="preserve">Wandbeläge Keramik</t>
  </si>
  <si>
    <t xml:space="preserve">283</t>
  </si>
  <si>
    <t xml:space="preserve">Deckenbekleidungen</t>
  </si>
  <si>
    <t xml:space="preserve">285</t>
  </si>
  <si>
    <t xml:space="preserve">Innere Malerarbeiten</t>
  </si>
  <si>
    <t xml:space="preserve">286</t>
  </si>
  <si>
    <t xml:space="preserve">Bauaustrocknung</t>
  </si>
  <si>
    <t xml:space="preserve">287</t>
  </si>
  <si>
    <t xml:space="preserve">Baureinigung</t>
  </si>
  <si>
    <t xml:space="preserve">288</t>
  </si>
  <si>
    <t xml:space="preserve">Bauentfeuchtung</t>
  </si>
  <si>
    <t xml:space="preserve">289</t>
  </si>
  <si>
    <t xml:space="preserve">Reserven Ausbau 2</t>
  </si>
  <si>
    <t xml:space="preserve">29</t>
  </si>
  <si>
    <t xml:space="preserve">Planerhonorare</t>
  </si>
  <si>
    <t xml:space="preserve">Leistungsverschiebung</t>
  </si>
  <si>
    <t xml:space="preserve">Grösster Einzelunterschied – Leistungen wandern in den GU-Werkvertrag</t>
  </si>
  <si>
    <t xml:space="preserve">291a</t>
  </si>
  <si>
    <t xml:space="preserve">GP-Mandat (Gesamtleitung)</t>
  </si>
  <si>
    <t xml:space="preserve">291b</t>
  </si>
  <si>
    <t xml:space="preserve">Architekt</t>
  </si>
  <si>
    <t xml:space="preserve">unverändert – Architekturleistung bleibt bei URS</t>
  </si>
  <si>
    <t xml:space="preserve">291c</t>
  </si>
  <si>
    <t xml:space="preserve">Baumanagement</t>
  </si>
  <si>
    <t xml:space="preserve">–52 % : Baumanagement geht weitgehend an den GU über</t>
  </si>
  <si>
    <t xml:space="preserve">292</t>
  </si>
  <si>
    <t xml:space="preserve">Bauingenieur</t>
  </si>
  <si>
    <t xml:space="preserve">–50 % : Ausführungsprojekt beim GU</t>
  </si>
  <si>
    <t xml:space="preserve">293</t>
  </si>
  <si>
    <t xml:space="preserve">Elektroplaner</t>
  </si>
  <si>
    <t xml:space="preserve">–50 % : Ausführungsplanung beim GU</t>
  </si>
  <si>
    <t xml:space="preserve">294/5</t>
  </si>
  <si>
    <t xml:space="preserve">HLKS-Planer</t>
  </si>
  <si>
    <t xml:space="preserve">296a</t>
  </si>
  <si>
    <t xml:space="preserve">Bauphysik</t>
  </si>
  <si>
    <t xml:space="preserve">296b</t>
  </si>
  <si>
    <t xml:space="preserve">Geometer, Geologe und diverse</t>
  </si>
  <si>
    <t xml:space="preserve">298</t>
  </si>
  <si>
    <t xml:space="preserve">Brandschutzingenieur</t>
  </si>
  <si>
    <t xml:space="preserve">299</t>
  </si>
  <si>
    <t xml:space="preserve">Reserve Planerhonorare</t>
  </si>
  <si>
    <t xml:space="preserve">4</t>
  </si>
  <si>
    <t xml:space="preserve">Umgebung</t>
  </si>
  <si>
    <t xml:space="preserve">Hauptteil in BKP 101 (GU Tiefbau) enthalten</t>
  </si>
  <si>
    <t xml:space="preserve">41</t>
  </si>
  <si>
    <t xml:space="preserve">Roh- und Ausbauarbeiten</t>
  </si>
  <si>
    <t xml:space="preserve">416</t>
  </si>
  <si>
    <t xml:space="preserve">Ausbau 2 (in BKP 1 enthalten)</t>
  </si>
  <si>
    <t xml:space="preserve">42</t>
  </si>
  <si>
    <t xml:space="preserve">Gartenanlagen</t>
  </si>
  <si>
    <t xml:space="preserve">421</t>
  </si>
  <si>
    <t xml:space="preserve">Gärtnerarbeiten (in BKP 1 enthalten)</t>
  </si>
  <si>
    <t xml:space="preserve">424</t>
  </si>
  <si>
    <t xml:space="preserve">Spiel- und Sportplätze</t>
  </si>
  <si>
    <t xml:space="preserve">49</t>
  </si>
  <si>
    <t xml:space="preserve">Planungshonorar und Fachbauleitung Umgebung</t>
  </si>
  <si>
    <t xml:space="preserve">5</t>
  </si>
  <si>
    <t xml:space="preserve">Baunebenkosten</t>
  </si>
  <si>
    <t xml:space="preserve">In beiden Kalkulationen identisch – Bauherrenrisiko, nicht GU-Leistung</t>
  </si>
  <si>
    <t xml:space="preserve">51</t>
  </si>
  <si>
    <t xml:space="preserve">Bewilligungen, Gebühren</t>
  </si>
  <si>
    <t xml:space="preserve">510</t>
  </si>
  <si>
    <t xml:space="preserve">Quartierplan-Erschliessung</t>
  </si>
  <si>
    <t xml:space="preserve">grösster Einzelposten der Baunebenkosten</t>
  </si>
  <si>
    <t xml:space="preserve">511</t>
  </si>
  <si>
    <t xml:space="preserve">Bewilligungen, Baugespann</t>
  </si>
  <si>
    <t xml:space="preserve">512</t>
  </si>
  <si>
    <t xml:space="preserve">Anschlussgebühren</t>
  </si>
  <si>
    <t xml:space="preserve">512.0</t>
  </si>
  <si>
    <t xml:space="preserve">Kanalisation</t>
  </si>
  <si>
    <t xml:space="preserve">512.1</t>
  </si>
  <si>
    <t xml:space="preserve">Elektrizität</t>
  </si>
  <si>
    <t xml:space="preserve">512.4</t>
  </si>
  <si>
    <t xml:space="preserve">Wasser</t>
  </si>
  <si>
    <t xml:space="preserve">519</t>
  </si>
  <si>
    <t xml:space="preserve">Schutzraumersatzabgabe</t>
  </si>
  <si>
    <t xml:space="preserve">52</t>
  </si>
  <si>
    <t xml:space="preserve">Muster, Modelle, Vervielfältigung, Dokumentation (Fixpreis)</t>
  </si>
  <si>
    <t xml:space="preserve">522</t>
  </si>
  <si>
    <t xml:space="preserve">Modelle</t>
  </si>
  <si>
    <t xml:space="preserve">523</t>
  </si>
  <si>
    <t xml:space="preserve">Fotos</t>
  </si>
  <si>
    <t xml:space="preserve">524</t>
  </si>
  <si>
    <t xml:space="preserve">Vervielfältigung, Plankopien</t>
  </si>
  <si>
    <t xml:space="preserve">525</t>
  </si>
  <si>
    <t xml:space="preserve">Dokumentation</t>
  </si>
  <si>
    <t xml:space="preserve">529</t>
  </si>
  <si>
    <t xml:space="preserve">Baureklame</t>
  </si>
  <si>
    <t xml:space="preserve">53</t>
  </si>
  <si>
    <t xml:space="preserve">Versicherungen (Fixpreis)</t>
  </si>
  <si>
    <t xml:space="preserve">531</t>
  </si>
  <si>
    <t xml:space="preserve">Bauzeitversicherung</t>
  </si>
  <si>
    <t xml:space="preserve">532</t>
  </si>
  <si>
    <t xml:space="preserve">Spezialversicherung</t>
  </si>
  <si>
    <t xml:space="preserve">533</t>
  </si>
  <si>
    <t xml:space="preserve">Selbstbehalt bei Schadenfällen</t>
  </si>
  <si>
    <t xml:space="preserve">55</t>
  </si>
  <si>
    <t xml:space="preserve">Vermarktung</t>
  </si>
  <si>
    <t xml:space="preserve">556</t>
  </si>
  <si>
    <t xml:space="preserve">Maklerprovision</t>
  </si>
  <si>
    <t xml:space="preserve">557</t>
  </si>
  <si>
    <t xml:space="preserve">Erstvermietung</t>
  </si>
  <si>
    <t xml:space="preserve">nicht budgetiert – Risikoposition</t>
  </si>
  <si>
    <t xml:space="preserve">558</t>
  </si>
  <si>
    <t xml:space="preserve">Nebenkosten Vermarktung</t>
  </si>
  <si>
    <t xml:space="preserve">559</t>
  </si>
  <si>
    <t xml:space="preserve">Käuferbetreuung</t>
  </si>
  <si>
    <t xml:space="preserve">56</t>
  </si>
  <si>
    <t xml:space="preserve">Übrige Baunebenkosten</t>
  </si>
  <si>
    <t xml:space="preserve">562</t>
  </si>
  <si>
    <t xml:space="preserve">Nachbarentschädigung</t>
  </si>
  <si>
    <t xml:space="preserve">566</t>
  </si>
  <si>
    <t xml:space="preserve">Grundsteinlegung, Aufrichte, Einweihung</t>
  </si>
  <si>
    <t xml:space="preserve">568</t>
  </si>
  <si>
    <t xml:space="preserve">Verkaufsunterstützung (z. B. Container)</t>
  </si>
  <si>
    <t xml:space="preserve">569</t>
  </si>
  <si>
    <t xml:space="preserve">Daten- und Projektraum, Digitalisierung</t>
  </si>
  <si>
    <t xml:space="preserve">6</t>
  </si>
  <si>
    <t xml:space="preserve">Bauherrenkosten</t>
  </si>
  <si>
    <t xml:space="preserve">In beiden Kalkulationen identisch</t>
  </si>
  <si>
    <t xml:space="preserve">61</t>
  </si>
  <si>
    <t xml:space="preserve">Zinsen, Bauherrennebenkosten, Rechtskosten</t>
  </si>
  <si>
    <t xml:space="preserve">entspricht rd. 1.2 % der Erstellungskosten – für 24 Mt. Bauzeit knapp bemessen</t>
  </si>
  <si>
    <t xml:space="preserve">62</t>
  </si>
  <si>
    <t xml:space="preserve">Bauherrenvertretung</t>
  </si>
  <si>
    <t xml:space="preserve">1.8 % der Anlagekosten</t>
  </si>
  <si>
    <t xml:space="preserve">63</t>
  </si>
  <si>
    <t xml:space="preserve">Reserven für Unvorhergesehenes</t>
  </si>
  <si>
    <t xml:space="preserve">2.0 % der Anlagekosten – bei Genauigkeitsgrad ± 10 % tief</t>
  </si>
  <si>
    <t xml:space="preserve">0–9</t>
  </si>
  <si>
    <t xml:space="preserve">ANLAGEKOSTEN TOTAL</t>
  </si>
  <si>
    <t xml:space="preserve">Kontrolle gegen Ursprungsdatei</t>
  </si>
  <si>
    <t xml:space="preserve">Anlagekosten Urbanstreet gemäss Original</t>
  </si>
  <si>
    <t xml:space="preserve">Vergleich nach BKP-Hauptgruppen</t>
  </si>
  <si>
    <t xml:space="preserve">Verdichtete Gegenüberstellung – auf dieser Ebene sind die beiden Kalkulationen vollständig vergleichbar.</t>
  </si>
  <si>
    <t xml:space="preserve">ANLAGEKOSTEN NACH BKP-HAUPTGRUPPE</t>
  </si>
  <si>
    <t xml:space="preserve">Hauptgruppe</t>
  </si>
  <si>
    <t xml:space="preserve">KV Urbanstreet
CHF</t>
  </si>
  <si>
    <t xml:space="preserve">Angebot Methabau
CHF</t>
  </si>
  <si>
    <t xml:space="preserve">Δ CHF</t>
  </si>
  <si>
    <t xml:space="preserve">URS
CHF/m² GF</t>
  </si>
  <si>
    <t xml:space="preserve">Metha
CHF/m² GF</t>
  </si>
  <si>
    <t xml:space="preserve">Beurteilung</t>
  </si>
  <si>
    <t xml:space="preserve">deckungsgleich – kein Verhandlungsspielraum</t>
  </si>
  <si>
    <t xml:space="preserve">Vorbereitungsarbeiten</t>
  </si>
  <si>
    <t xml:space="preserve">Pauschalvertrag Tiefbau, identisch</t>
  </si>
  <si>
    <t xml:space="preserve">einziger Unterschied; nur aggregiert vergleichbar</t>
  </si>
  <si>
    <t xml:space="preserve">identisch, grösstenteils in BKP 1 enthalten</t>
  </si>
  <si>
    <t xml:space="preserve">identisch – Bauherrenrisiko, nicht GU-Leistung</t>
  </si>
  <si>
    <t xml:space="preserve">identisch – Reserve mit 2.0 % knapp bemessen</t>
  </si>
  <si>
    <t xml:space="preserve">Erstellungskosten BKP 1–6 (ohne Grundstück)</t>
  </si>
  <si>
    <t xml:space="preserve">massgebend für den Baukosten-Benchmark</t>
  </si>
  <si>
    <t xml:space="preserve">Gebäudekosten BKP 2 je m³ GV</t>
  </si>
  <si>
    <t xml:space="preserve">CHF/m³ – Kennwert für den Hochbau</t>
  </si>
  <si>
    <t xml:space="preserve">AUFSCHLÜSSELUNG BKP 2 – GEBÄUDE (einzige Abweichungsquelle)</t>
  </si>
  <si>
    <t xml:space="preserve">Gruppe</t>
  </si>
  <si>
    <t xml:space="preserve">% BKP 2</t>
  </si>
  <si>
    <t xml:space="preserve">GU-Pauschale übriges Hochbauwerk</t>
  </si>
  <si>
    <t xml:space="preserve">TOTAL BKP 2 GEBÄUDE</t>
  </si>
  <si>
    <t xml:space="preserve">Abweichungsanalyse</t>
  </si>
  <si>
    <t xml:space="preserve">Woher kommen die CHF 664'210 Differenz – und was steckt wirklich dahinter?</t>
  </si>
  <si>
    <t xml:space="preserve">BRÜCKE VOM KV URBANSTREET ZUM ANGEBOT METHABAU</t>
  </si>
  <si>
    <t xml:space="preserve">Schritt</t>
  </si>
  <si>
    <t xml:space="preserve">Betrag CHF</t>
  </si>
  <si>
    <t xml:space="preserve">kumuliert CHF</t>
  </si>
  <si>
    <t xml:space="preserve">Basis (Hilfsspalte)</t>
  </si>
  <si>
    <t xml:space="preserve">Zunahme</t>
  </si>
  <si>
    <t xml:space="preserve">Abnahme</t>
  </si>
  <si>
    <t xml:space="preserve">Wert</t>
  </si>
  <si>
    <t xml:space="preserve">KV Urbanstreet, Anlagekosten</t>
  </si>
  <si>
    <t xml:space="preserve">./. Planerhonorare BKP 29 – Leistungen wandern in den GU-Werkvertrag</t>
  </si>
  <si>
    <t xml:space="preserve">+ Hochbauleistungen BKP 20–28 – GU-Pauschale gegen Einzelpositionen</t>
  </si>
  <si>
    <t xml:space="preserve">Angebot Methabau, Anlagekosten</t>
  </si>
  <si>
    <t xml:space="preserve">Netto-Differenz</t>
  </si>
  <si>
    <t xml:space="preserve">WAS DIE ZAHL NICHT ZEIGT – EINORDNUNG FÜR DEN INVESTOR</t>
  </si>
  <si>
    <t xml:space="preserve">Die Differenz ist keine Einsparung, sondern eine Leistungsverschiebung.</t>
  </si>
  <si>
    <t xml:space="preserve">Von den CHF 1'692'500 tieferen Planerhonoraren entfallen CHF 940'000 auf das Baumanagement und CHF 752'500 auf Fach- und Ausführungsplanung (Bauingenieur, Elektro, HLKS, je –50 %). Diese Leistungen verschwinden nicht, sie sind im GU-Werkvertrag enthalten und damit im Pauschalpreis von CHF 37.6 Mio. eingepreist.</t>
  </si>
  <si>
    <t xml:space="preserve">Auf Stufe Hochbauwerk offeriert Methabau CHF 1'028'290 höher als der eigene KV.</t>
  </si>
  <si>
    <t xml:space="preserve">Das entspricht +2.7 % auf die Positionen BKP 20–28. Für eine Pauschale mit Terminsicherheit, Kostendach und Gewährleistung aus einer Hand ist das ein sehr enger Risikozuschlag – er ist ungewöhnlich tief und deshalb kritisch auf Vollständigkeit des Leistungsverzeichnisses zu prüfen.</t>
  </si>
  <si>
    <t xml:space="preserve">3</t>
  </si>
  <si>
    <t xml:space="preserve">Ausserhalb BKP 2 ist jede einzelne Position deckungsgleich.</t>
  </si>
  <si>
    <t xml:space="preserve">Grundstück, Tiefbau-Pauschale, Umgebung, Baunebenkosten und Bauherrenkosten wurden unverändert aus dem eigenen KV übernommen. Der Vergleich prüft damit ausschliesslich das Hochbauwerk – die übrigen 40 % der Anlagekosten bleiben ungeprüftes Bauherrenrisiko.</t>
  </si>
  <si>
    <t xml:space="preserve">Der Genauigkeitsgrad relativiert die Differenz vollständig.</t>
  </si>
  <si>
    <t xml:space="preserve">Der KV trägt eine Toleranz von ± 10 %, das sind ± CHF 7.6 Mio. Die Differenz von CHF 664'210 liegt bei 8.7 % dieser Toleranz. Die beiden Zahlen sind statistisch nicht unterscheidbar – die Entscheidung ist deshalb keine Preis-, sondern eine Risikoentscheidung.</t>
  </si>
  <si>
    <t xml:space="preserve">Der Preisstand unterscheidet sich um rund sechs Monate.</t>
  </si>
  <si>
    <t xml:space="preserve">Der eigene KV datiert vom 23.10.2024, das Angebot vom 16.04.2025. Ein Teuerungsabgleich (Baupreisindex Hochbau ZH) und die Frage der Teuerungsklausel im Werkvertrag gehören in die Beurteilung.</t>
  </si>
  <si>
    <t xml:space="preserve">PRÜFPUNKTE VOR VERGABE</t>
  </si>
  <si>
    <t xml:space="preserve">Prüfpunkt</t>
  </si>
  <si>
    <t xml:space="preserve">Warum</t>
  </si>
  <si>
    <t xml:space="preserve">□</t>
  </si>
  <si>
    <t xml:space="preserve">Vollständigkeit Leistungsverzeichnis GU</t>
  </si>
  <si>
    <t xml:space="preserve">Der Pauschalpreis von CHF 37.6 Mio. ist nicht aufgeschlüsselt. Ohne Positionsspiegel ist nicht prüfbar, ob Ausbaustandard, Haustechnik und Elektromobilität im gleichen Umfang enthalten sind.</t>
  </si>
  <si>
    <t xml:space="preserve">Ausbaustandard und Mieterausbau</t>
  </si>
  <si>
    <t xml:space="preserve">Im KV sind Küchen (CHF 800'000), Bodenbeläge Holz (CHF 793'000) und Elementwände enthalten. Bei Gewerbeflächen ist zu klären, was Rohbaustandard und was Mieterausbau ist.</t>
  </si>
  <si>
    <t xml:space="preserve">Elektromobilität und PV</t>
  </si>
  <si>
    <t xml:space="preserve">CHF 433'000 Ladeinfrastruktur und CHF 1'000'000 PV-Vorbereitung – bei Methabau nur die PV separat ausgewiesen. Klären, ob die Ladeinfrastruktur in der Pauschale steckt.</t>
  </si>
  <si>
    <t xml:space="preserve">Teuerung und Preisstand</t>
  </si>
  <si>
    <t xml:space="preserve">Werkvertrag fest oder indexiert? Bei 24 Monaten Bauzeit ist das ein Betrag in Millionenhöhe.</t>
  </si>
  <si>
    <t xml:space="preserve">Bonität und Sicherheiten GU</t>
  </si>
  <si>
    <t xml:space="preserve">Erfüllungs- und Garantiegarantie, Bonitätsprüfung, Konzernhaftung – bei einer Pauschale von CHF 37.6 Mio. der zentrale Risikopunkt.</t>
  </si>
  <si>
    <t xml:space="preserve">Schnittstelle GU Hochbau / GU Tiefbau</t>
  </si>
  <si>
    <t xml:space="preserve">Zwei Pauschalverträge (CHF 7.5 Mio. Tiefbau, CHF 37.6 Mio. Hochbau). Schnittstellenrisiko Baugrube, Werkleitungen, Umgebung liegt beim Bauherrn.</t>
  </si>
  <si>
    <t xml:space="preserve">Reserve BKP 63</t>
  </si>
  <si>
    <t xml:space="preserve">CHF 1'500'000 entsprechen 2.5 % der Erstellungskosten – bei Genauigkeitsgrad ± 10 % zu tief. Siehe Register 06.</t>
  </si>
  <si>
    <t xml:space="preserve">Erstvermietung und Nachbarentschädigung</t>
  </si>
  <si>
    <t xml:space="preserve">Beide Positionen mit CHF 0 budgetiert. Bei 24'486 m² GF Gewerbefläche ist eine Erstvermietungsposition zwingend.</t>
  </si>
  <si>
    <t xml:space="preserve">Benchmarks Schweizer Immobilienentwicklung</t>
  </si>
  <si>
    <t xml:space="preserve">Kostenkennwerte des Projekts gegen Erfahrungsbandbreiten für Gewerbe- und Verwaltungsbauten.</t>
  </si>
  <si>
    <t xml:space="preserve">KOSTENKENNWERTE</t>
  </si>
  <si>
    <t xml:space="preserve">Kennwert</t>
  </si>
  <si>
    <t xml:space="preserve">Einheit</t>
  </si>
  <si>
    <t xml:space="preserve">Ist – Urbanstreet</t>
  </si>
  <si>
    <t xml:space="preserve">Ist – Methabau</t>
  </si>
  <si>
    <t xml:space="preserve">Richtwert von</t>
  </si>
  <si>
    <t xml:space="preserve">Richtwert bis</t>
  </si>
  <si>
    <t xml:space="preserve">Beurteilung URS</t>
  </si>
  <si>
    <t xml:space="preserve">Beurteilung Metha</t>
  </si>
  <si>
    <t xml:space="preserve">Kommentar und Quelle des Richtwerts</t>
  </si>
  <si>
    <t xml:space="preserve">Anlagekosten je m² Geschossfläche</t>
  </si>
  <si>
    <t xml:space="preserve">CHF/m² GF</t>
  </si>
  <si>
    <t xml:space="preserve">Gewerbe-/Verwaltungsbau inkl. Land, Agglomerationslage. Erfahrungsbandbreite – gegen CRB-Kennwerte zu validieren.</t>
  </si>
  <si>
    <t xml:space="preserve">Erstellungskosten BKP 1–6 je m² GF</t>
  </si>
  <si>
    <t xml:space="preserve">Ohne Landkosten. Erfahrungsbandbreite Gewerbebau mittlerer Ausbaustandard.</t>
  </si>
  <si>
    <t xml:space="preserve">Gebäudekosten BKP 2 je m² GF</t>
  </si>
  <si>
    <t xml:space="preserve">Kernkennwert des Hochbaus. Erfahrungsbandbreite Gewerbebau.</t>
  </si>
  <si>
    <t xml:space="preserve">Gebäudekosten BKP 2 je m³ Gebäudevolumen</t>
  </si>
  <si>
    <t xml:space="preserve">CHF/m³ GV</t>
  </si>
  <si>
    <t xml:space="preserve">GV ist eine Annahme (7 × 10'000 m³) – Kennwert erst nach Verifikation belastbar.</t>
  </si>
  <si>
    <t xml:space="preserve">Landkosten je m² Grundstücksfläche</t>
  </si>
  <si>
    <t xml:space="preserve">CHF/m² GSF</t>
  </si>
  <si>
    <t xml:space="preserve">Inkl. Entwicklungskosten. Gewerbezone Zürcher Oberland / Weinland.</t>
  </si>
  <si>
    <t xml:space="preserve">Landanteil an den Anlagekosten</t>
  </si>
  <si>
    <t xml:space="preserve">Über 25 % drückt die Entwicklungsmarge erfahrungsgemäss unter die Risikoschwelle.</t>
  </si>
  <si>
    <t xml:space="preserve">Planerhonorare BKP 29 in % von BKP 2 ohne Honorare</t>
  </si>
  <si>
    <t xml:space="preserve">Bei GU-Vergabe liegt der Bauherrenanteil tiefer, weil Ausführungsplanung im Werkvertrag steckt.</t>
  </si>
  <si>
    <t xml:space="preserve">Baunebenkosten BKP 5 in % Erstellungskosten</t>
  </si>
  <si>
    <t xml:space="preserve">Enthält hier die Quartierplan-Erschliessung von CHF 1'895'000 – projektbedingt am oberen Rand plausibel.</t>
  </si>
  <si>
    <t xml:space="preserve">Bauherrenkosten BKP 6 in % Anlagekosten</t>
  </si>
  <si>
    <t xml:space="preserve">Zinsen, Bauherrenvertretung und Reserve.</t>
  </si>
  <si>
    <t xml:space="preserve">Reserve BKP 63 in % Erstellungskosten</t>
  </si>
  <si>
    <t xml:space="preserve">Faustregel bei Genauigkeitsgrad ± 10 %: mindestens 5 %, üblich 8–10 % bis Baubeginn.</t>
  </si>
  <si>
    <t xml:space="preserve">Bauherrenvertretung BKP 62 in % Anlagekosten</t>
  </si>
  <si>
    <t xml:space="preserve">Erfahrungsbandbreite für ein Projekt dieser Grösse.</t>
  </si>
  <si>
    <t xml:space="preserve">Bauzinsen BKP 61 in % Erstellungskosten</t>
  </si>
  <si>
    <t xml:space="preserve">Bei 24 Monaten Bauzeit und 65 % Fremdkapital – vgl. Rechenwert in Register 02, Zeile 59.</t>
  </si>
  <si>
    <t xml:space="preserve">Lesehilfe:  Die Richtwerte in den gelb hinterlegten Spalten sind Erfahrungsbandbreiten für Schweizer Gewerbe- und Verwaltungsbauten und ausdrücklich als Eingabewerte gestaltet – ersetzen Sie sie durch Ihre eigenen Kennwerte oder durch Werte aus einer Kostenkennwertdatenbank (CRB / Werk-Kosten-Index), sobald diese vorliegen. Die Beurteilung rechnet automatisch neu.
Zwei Auffälligkeiten springen ins Auge: die Reserve für Unvorhergesehenes liegt mit rund 2.5 % der Erstellungskosten deutlich unter dem, was ein Kostenvoranschlag mit ± 10 % Toleranz verlangt – das ist der wichtigste Einzelbefund dieser Mappe. Und die Planerhonorare des eigenen KV liegen über der Bandbreite, diejenigen im Methabau-Szenario darin; das ist die logische Folge der Leistungsverschiebung zum GU.</t>
  </si>
  <si>
    <t xml:space="preserve">Flächen, Parzellen und Landwerte</t>
  </si>
  <si>
    <t xml:space="preserve">Grundlage aus dem Basisvertrag Land &amp; Entwicklung sowie der Baugesellschaftsrechnung.</t>
  </si>
  <si>
    <t xml:space="preserve">PARZELLEN UND FLÄCHEN</t>
  </si>
  <si>
    <t xml:space="preserve">Parzelle</t>
  </si>
  <si>
    <t xml:space="preserve">Eigentümer / Einbringer</t>
  </si>
  <si>
    <t xml:space="preserve">GSF m²</t>
  </si>
  <si>
    <t xml:space="preserve">GF m²</t>
  </si>
  <si>
    <t xml:space="preserve">Anteil GF</t>
  </si>
  <si>
    <t xml:space="preserve">Entwicklungs-
kosten CHF</t>
  </si>
  <si>
    <t xml:space="preserve">Landkosten CHF</t>
  </si>
  <si>
    <t xml:space="preserve">Land + Entwicklung
CHF</t>
  </si>
  <si>
    <t xml:space="preserve">EL4893</t>
  </si>
  <si>
    <t xml:space="preserve">Keller AG Ziegeleien</t>
  </si>
  <si>
    <t xml:space="preserve">EL4894</t>
  </si>
  <si>
    <t xml:space="preserve">Keller Prefadom AG</t>
  </si>
  <si>
    <t xml:space="preserve">EL5530</t>
  </si>
  <si>
    <t xml:space="preserve">R. Müller</t>
  </si>
  <si>
    <t xml:space="preserve">TOTAL</t>
  </si>
  <si>
    <t xml:space="preserve">Entwicklungsnebenkosten (Recht, Notariat)</t>
  </si>
  <si>
    <t xml:space="preserve">Total Grundstück BKP 0</t>
  </si>
  <si>
    <t xml:space="preserve">KENNZAHLEN FLÄCHE UND AUSNUTZUNG</t>
  </si>
  <si>
    <t xml:space="preserve">davon Bauzone Baufelder A–D</t>
  </si>
  <si>
    <t xml:space="preserve">Ausnutzung GF / GSF total</t>
  </si>
  <si>
    <t xml:space="preserve">Ausnutzung GF / Bauzone</t>
  </si>
  <si>
    <t xml:space="preserve">Gebäudevolumen (GV, Annahme)</t>
  </si>
  <si>
    <t xml:space="preserve">Verhältnis GV / GF</t>
  </si>
  <si>
    <t xml:space="preserve">m³/m²</t>
  </si>
  <si>
    <t xml:space="preserve">Anlagekosten je m² GF (massgebende Kalkulation)</t>
  </si>
  <si>
    <t xml:space="preserve">CHF/m²</t>
  </si>
  <si>
    <t xml:space="preserve">Landkosten je m² GF</t>
  </si>
  <si>
    <t xml:space="preserve">LANDWERTBETRACHTUNG DER BAUGESELLSCHAFT</t>
  </si>
  <si>
    <t xml:space="preserve">Position</t>
  </si>
  <si>
    <t xml:space="preserve">Fläche m²</t>
  </si>
  <si>
    <t xml:space="preserve">Total CHF</t>
  </si>
  <si>
    <t xml:space="preserve">Landwert heute (nur Bauzone, Baufelder A–D)</t>
  </si>
  <si>
    <t xml:space="preserve">Mindestverkaufspreis Bauland gemäss Entwicklungsvertrag</t>
  </si>
  <si>
    <t xml:space="preserve">Verkaufspreis Bauland inkl. Entwicklung (Schätzung)</t>
  </si>
  <si>
    <t xml:space="preserve">Landwertsteigerung durch Entwicklung und Quartierplan</t>
  </si>
  <si>
    <t xml:space="preserve">Steigerung in %</t>
  </si>
  <si>
    <t xml:space="preserve">Wertschöpfung je m² Bauzone</t>
  </si>
  <si>
    <t xml:space="preserve">Der Entwicklungserfolg vor dem Bau liegt bei rund CHF 10.3 Mio. Landwertsteigerung – erwirtschaftet durch Quartierplan, Baurecht und bewilligtes Bauprojekt. Diese Wertschöpfung ist bereits realisiert und in den Anlagekosten als Landpreis von CHF 15.0 Mio. enthalten; sie steht dem künftigen Investor also nicht mehr zur Verfügung. Die Rendite des Bauprojekts muss deshalb aus dem Hochbau und aus dem Mietertrag kommen, nicht aus dem Land. Register 12 zeigt, wie diese Landwertsteigerung unter den Partnern verteilt wird.</t>
  </si>
  <si>
    <t xml:space="preserve">Ertrag, Rendite und Projektgewinn</t>
  </si>
  <si>
    <t xml:space="preserve">Investorenrechnung auf Basis der Ertragsannahmen aus Register 02. Alle Treiber dort änderbar.</t>
  </si>
  <si>
    <t xml:space="preserve">SOLL-MIETERTRAG (VOLLVERMIETUNG)</t>
  </si>
  <si>
    <t xml:space="preserve">Nutzung</t>
  </si>
  <si>
    <t xml:space="preserve">Einheiten</t>
  </si>
  <si>
    <t xml:space="preserve">je Einheit
m² / Stk</t>
  </si>
  <si>
    <t xml:space="preserve">Total
m² / Stk</t>
  </si>
  <si>
    <t xml:space="preserve">Mietzins
CHF/m²/J bzw. CHF/Stk/J</t>
  </si>
  <si>
    <t xml:space="preserve">Soll-Mietertrag
CHF/Jahr</t>
  </si>
  <si>
    <t xml:space="preserve">% Total</t>
  </si>
  <si>
    <t xml:space="preserve">Gewerbeflächen Gewerbehäuser</t>
  </si>
  <si>
    <t xml:space="preserve">Erdgeschoss-/Hallenflächen</t>
  </si>
  <si>
    <t xml:space="preserve">Wohn- und Büroflächen Gewerbehäuser</t>
  </si>
  <si>
    <t xml:space="preserve">Obergeschosse</t>
  </si>
  <si>
    <t xml:space="preserve">Parkplätze Gewerbehäuser</t>
  </si>
  <si>
    <t xml:space="preserve">Monatsmiete × 12</t>
  </si>
  <si>
    <t xml:space="preserve">Flächen Mehrzweckgebäude</t>
  </si>
  <si>
    <t xml:space="preserve">separates Gebäude</t>
  </si>
  <si>
    <t xml:space="preserve">Parkplätze Mehrzweckgebäude</t>
  </si>
  <si>
    <t xml:space="preserve">SOLL-MIETERTRAG TOTAL</t>
  </si>
  <si>
    <t xml:space="preserve">Vermietbare Fläche total (ohne Parkplätze)</t>
  </si>
  <si>
    <t xml:space="preserve">Ø Mietzins CHF/m²/J</t>
  </si>
  <si>
    <t xml:space="preserve">BETRIEBSRECHNUNG</t>
  </si>
  <si>
    <t xml:space="preserve">Soll-Mietertrag (Vollvermietung)</t>
  </si>
  <si>
    <t xml:space="preserve">./. Leerstand und Mietzinsausfall</t>
  </si>
  <si>
    <t xml:space="preserve">Annahme Register 02, Zeile 49</t>
  </si>
  <si>
    <t xml:space="preserve">Effektiver Mietertrag</t>
  </si>
  <si>
    <t xml:space="preserve">./. Betriebs- und Unterhaltskosten (nicht überwälzbar)</t>
  </si>
  <si>
    <t xml:space="preserve">in % des Soll-Mietertrags, Register 02, Zeile 50</t>
  </si>
  <si>
    <t xml:space="preserve">Nettomietertrag (NOI)</t>
  </si>
  <si>
    <t xml:space="preserve">Net Operating Income – Basis für Bewertung und Rendite</t>
  </si>
  <si>
    <t xml:space="preserve">RENDITEKENNZAHLEN</t>
  </si>
  <si>
    <t xml:space="preserve">Massgebende Anlagekosten (inkl. MwSt.)</t>
  </si>
  <si>
    <t xml:space="preserve">Steuerzelle Register 02, Zeile 28</t>
  </si>
  <si>
    <t xml:space="preserve">Anlagekosten exkl. MwSt. (bei Optierung der Vermietung)</t>
  </si>
  <si>
    <t xml:space="preserve">MwSt. auf Erstellungskosten rückforderbar</t>
  </si>
  <si>
    <t xml:space="preserve">Bruttorendite auf Anlagekosten inkl. MwSt.</t>
  </si>
  <si>
    <t xml:space="preserve">Soll-Mietertrag / Anlagekosten</t>
  </si>
  <si>
    <t xml:space="preserve">Bruttorendite auf Anlagekosten exkl. MwSt.</t>
  </si>
  <si>
    <t xml:space="preserve">massgebend, wenn optiert wird</t>
  </si>
  <si>
    <t xml:space="preserve">Nettorendite auf Anlagekosten inkl. MwSt.</t>
  </si>
  <si>
    <t xml:space="preserve">NOI / Anlagekosten</t>
  </si>
  <si>
    <t xml:space="preserve">Nettorendite auf Anlagekosten exkl. MwSt.</t>
  </si>
  <si>
    <t xml:space="preserve">BEWERTUNG UND PROJEKTGEWINN  (Sicht: Bau und Halten bzw. Verkauf nach Fertigstellung)</t>
  </si>
  <si>
    <t xml:space="preserve">Kapitalisierungssatz</t>
  </si>
  <si>
    <t xml:space="preserve">Register 02, Zeile 51 – ambitionierter Ansatz; für Gewerbe in Agglomerationslage werden häufig höhere Sätze verwendet. Bandbreite siehe Register 09</t>
  </si>
  <si>
    <t xml:space="preserve">Ertragswert (NOI / Kapitalisierungssatz)</t>
  </si>
  <si>
    <t xml:space="preserve">./. Verkaufs- und Transaktionskosten</t>
  </si>
  <si>
    <t xml:space="preserve">Nettoerlös bei Verkauf</t>
  </si>
  <si>
    <t xml:space="preserve">Projektgewinn (Nettoerlös ./. Anlagekosten inkl. MwSt.)</t>
  </si>
  <si>
    <t xml:space="preserve">Projektmarge in % der Anlagekosten</t>
  </si>
  <si>
    <t xml:space="preserve">Richtwert Entwicklungsprojekt CH: 8–15 % je nach Risiko</t>
  </si>
  <si>
    <t xml:space="preserve">Projektgewinn bei Optierung (gegen AK exkl. MwSt.)</t>
  </si>
  <si>
    <t xml:space="preserve">MwSt-Rückforderung als zusätzlicher Hebel</t>
  </si>
  <si>
    <t xml:space="preserve">Projektmarge bei Optierung</t>
  </si>
  <si>
    <t xml:space="preserve">Projektgewinn auf Eigenkapital</t>
  </si>
  <si>
    <t xml:space="preserve">einmalige Rendite über die gesamte Projektdauer, nicht p. a.</t>
  </si>
  <si>
    <t xml:space="preserve">BREAK-EVEN-BETRACHTUNG</t>
  </si>
  <si>
    <t xml:space="preserve">Break-even Kapitalisierungssatz</t>
  </si>
  <si>
    <t xml:space="preserve">Kapitalisierungssatz, bei dem der Projektgewinn null wird</t>
  </si>
  <si>
    <t xml:space="preserve">Puffer zum angenommenen Kapitalisierungssatz</t>
  </si>
  <si>
    <t xml:space="preserve">positiv = Reserve; je grösser, desto robuster</t>
  </si>
  <si>
    <t xml:space="preserve">Break-even Soll-Mietertrag</t>
  </si>
  <si>
    <t xml:space="preserve">Puffer zum kalkulierten Soll-Mietertrag</t>
  </si>
  <si>
    <t xml:space="preserve">Puffer in % des Soll-Mietertrags</t>
  </si>
  <si>
    <t xml:space="preserve">zulässiger Mietzinsrückgang, bis der Gewinn null wird</t>
  </si>
  <si>
    <t xml:space="preserve">Break-even Anlagekosten</t>
  </si>
  <si>
    <t xml:space="preserve">Anlagekosten, bei denen der Gewinn null wird</t>
  </si>
  <si>
    <t xml:space="preserve">Zulässige Baukostenüberschreitung</t>
  </si>
  <si>
    <t xml:space="preserve">Vergleich zur KV-Toleranz von ± 10 %</t>
  </si>
  <si>
    <t xml:space="preserve">Lesehilfe:  Diese Rechnung zeigt die Sicht «bauen und nach Fertigstellung bewerten bzw. verkaufen». Sie ist bewusst einfach gehalten und arbeitet ohne Diskontierung über die Zeit – für eine Investitionsentscheidung auf Stufe Vorprojekt ist das der übliche und robuste Zugang. Zwei Dinge sind für die Beurteilung entscheidend: erstens der Kapitalisierungssatz, der den Ertragswert überproportional bewegt (Register 09 zeigt die Bandbreite), und zweitens die Frage der MwSt-Optierung – bei einer reinen Gewerbevermietung mit Option ist die Mehrwertsteuer auf den Erstellungskosten rückforderbar, was die Anlagekosten um mehrere Millionen senkt und die Rendite spürbar hebt. Die Mietzinsansätze stammen aus dem Quick-Check der Ursprungsdatei; sie sind der grösste Unsicherheitsfaktor und vor einer Vergabeentscheidung mit einer Marktabklärung zu unterlegen.</t>
  </si>
  <si>
    <t xml:space="preserve">Sensitivitäten</t>
  </si>
  <si>
    <t xml:space="preserve">Wie stabil ist das Ergebnis, wenn sich Baukosten, Mietzinsen oder der Kapitalisierungssatz verschieben?</t>
  </si>
  <si>
    <t xml:space="preserve">MATRIX 1 · PROJEKTGEWINN CHF  –  Baukostenabweichung × Kapitalisierungssatz</t>
  </si>
  <si>
    <t xml:space="preserve">Kapitalisierungs-
satz  ↓   /   Baukosten  →</t>
  </si>
  <si>
    <t xml:space="preserve">Basisfall</t>
  </si>
  <si>
    <t xml:space="preserve">Baukostenabweichung 0 %, Mietzinsniveau 0 %, Kapitalisierungssatz gemäss Register 02 (4.25 %). Die Farbskala vergleicht jeweils nur innerhalb einer Matrix – grün steht für das bessere, ockerfarben für das schlechtere Ergebnis.</t>
  </si>
  <si>
    <t xml:space="preserve">MATRIX 2 · PROJEKTMARGE IN % DER ANLAGEKOSTEN  –  Mietzinsniveau × Kapitalisierungssatz</t>
  </si>
  <si>
    <t xml:space="preserve">Kapitalisierungs-
satz  ↓   /   Mietzins  →</t>
  </si>
  <si>
    <t xml:space="preserve">MATRIX 3 · NETTORENDITE AUF ANLAGEKOSTEN  –  Mietzinsniveau × Baukostenabweichung</t>
  </si>
  <si>
    <t xml:space="preserve">Baukosten  ↓   /   Mietzins  →</t>
  </si>
  <si>
    <t xml:space="preserve">Lesehilfe:  Der Kapitalisierungssatz ist der mit Abstand stärkste Hebel. Ein Viertelprozentpunkt Veränderung bewegt den Ertragswert um mehrere Millionen Franken – mehr als die gesamte Differenz zwischen den beiden Kostenvoranschlägen. Die Diskussion, ob Methabau CHF 664'210 günstiger ist, ist gegenüber der Frage, zu welchem Satz die Liegenschaft dereinst bewertet wird, zweitrangig.
Umgekehrt zeigt Matrix 1, wie schmal der Grat ist: Bereits eine Baukostenüberschreitung im Rahmen der KV-Toleranz von + 10 % kippt das Ergebnis in mehreren Kapitalisierungsszenarien ins Negative. Das ist der eigentliche Grund, weshalb die Reserve für Unvorhergesehenes (Register 06) und die Preissicherheit des GU-Werkvertrags (Register 05) die zentralen Themen dieser Vergabe sind.</t>
  </si>
  <si>
    <t xml:space="preserve">Szenarien</t>
  </si>
  <si>
    <t xml:space="preserve">Drei durchgerechnete Fälle – die Treiber in den blauen Zellen sind frei wählbar.</t>
  </si>
  <si>
    <t xml:space="preserve">TREIBER</t>
  </si>
  <si>
    <t xml:space="preserve">Treiber</t>
  </si>
  <si>
    <t xml:space="preserve">Worst Case</t>
  </si>
  <si>
    <t xml:space="preserve">Base Case</t>
  </si>
  <si>
    <t xml:space="preserve">Best Case</t>
  </si>
  <si>
    <t xml:space="preserve">Baukostenabweichung gegenüber KV</t>
  </si>
  <si>
    <t xml:space="preserve">Worst = obere KV-Toleranz; Best = Verhandlungserfolg beim GU</t>
  </si>
  <si>
    <t xml:space="preserve">Mietzinsniveau gegenüber Quick-Check</t>
  </si>
  <si>
    <t xml:space="preserve">Gewerbeflächen in Agglomerationslage sind erfahrungsgemäss preissensibel</t>
  </si>
  <si>
    <t xml:space="preserve">Worst = längere Erstvermietung; Base = Annahme Register 02</t>
  </si>
  <si>
    <t xml:space="preserve">Betriebs- und Unterhaltskosten in % Soll</t>
  </si>
  <si>
    <t xml:space="preserve">Bandbreite Gewerbeliegenschaft</t>
  </si>
  <si>
    <t xml:space="preserve">Worst = Zinswende / Risikoaufschlag Sekundärlage; Best = knappes Angebot</t>
  </si>
  <si>
    <t xml:space="preserve">ERGEBNIS</t>
  </si>
  <si>
    <t xml:space="preserve">Ergebnisgrösse</t>
  </si>
  <si>
    <t xml:space="preserve">Anlagekosten</t>
  </si>
  <si>
    <t xml:space="preserve">Soll-Mietertrag</t>
  </si>
  <si>
    <t xml:space="preserve">CHF/J</t>
  </si>
  <si>
    <t xml:space="preserve">Nettomietertrag / NOI</t>
  </si>
  <si>
    <t xml:space="preserve">NOI = Soll × (1 – Leerstand – BU-Kostenquote); gleicher Rechenweg wie Register 08</t>
  </si>
  <si>
    <t xml:space="preserve">Nettorendite auf Anlagekosten</t>
  </si>
  <si>
    <t xml:space="preserve">Ertragswert</t>
  </si>
  <si>
    <t xml:space="preserve">Nettoerlös nach Transaktionskosten</t>
  </si>
  <si>
    <t xml:space="preserve">Projektgewinn</t>
  </si>
  <si>
    <t xml:space="preserve">Projektmarge in % Anlagekosten</t>
  </si>
  <si>
    <t xml:space="preserve">Richtwert Entwicklungsprojekt 8–15 %</t>
  </si>
  <si>
    <t xml:space="preserve">Projektgewinn je m² Geschossfläche</t>
  </si>
  <si>
    <t xml:space="preserve">Lesehilfe:
Der Base Case bildet die Ursprungsdaten unverändert ab. Er ist bewusst nicht optimistisch gewählt, sondern übernimmt schlicht die Annahmen aus dem Quick-Check.
Der Worst Case kombiniert die obere Kostentoleranz des Kostenvoranschlags mit einem tieferen Mietzinsniveau, einer längeren Erstvermietung und einem höheren Kapitalisierungssatz. Diese vier Effekte treten in einem abkühlenden Markt typischerweise gemeinsam auf – deshalb ist die Kombination realistisch und nicht konstruiert.
Der Best Case unterstellt einen moderaten Verhandlungserfolg beim Generalunternehmer und ein etwas festeres Mietzinsniveau.
Die Spreizung zwischen den Fällen ist das Mass für das Projektrisiko. Ist sie – wie hier – deutlich grösser als die Differenz zwischen den beiden Kostenvoranschlägen, dann entscheidet nicht der Preisvergleich über den Erfolg des Projekts, sondern die Absicherung von Baukosten, Mietzinsen und Exit.</t>
  </si>
  <si>
    <t xml:space="preserve">Risiken und Chancen</t>
  </si>
  <si>
    <t xml:space="preserve">Bewertet nach Eintrittswahrscheinlichkeit und finanzieller Auswirkung. Beide Spalten sind Eingabewerte.</t>
  </si>
  <si>
    <t xml:space="preserve">RISIKOREGISTER</t>
  </si>
  <si>
    <t xml:space="preserve">Nr.</t>
  </si>
  <si>
    <t xml:space="preserve">Kategorie</t>
  </si>
  <si>
    <t xml:space="preserve">Risiko</t>
  </si>
  <si>
    <t xml:space="preserve">Eintritt
1–5</t>
  </si>
  <si>
    <t xml:space="preserve">Auswirkung
CHF</t>
  </si>
  <si>
    <t xml:space="preserve">Erwartungs-
wert CHF</t>
  </si>
  <si>
    <t xml:space="preserve">Bewertung</t>
  </si>
  <si>
    <t xml:space="preserve">Massnahme</t>
  </si>
  <si>
    <t xml:space="preserve">Verantwortung</t>
  </si>
  <si>
    <t xml:space="preserve">Kosten</t>
  </si>
  <si>
    <t xml:space="preserve">Reserve für Unvorhergesehenes von CHF 1.5 Mio. entspricht nur 2.5 % der Erstellungskosten; bei Genauigkeitsgrad ± 10 % sind 5–10 % üblich.</t>
  </si>
  <si>
    <t xml:space="preserve">Reserve auf mindestens 5 % der Erstellungskosten anheben oder als Eventualverpflichtung im Finanzierungsnachweis führen.</t>
  </si>
  <si>
    <t xml:space="preserve">Bauherr / CFO</t>
  </si>
  <si>
    <t xml:space="preserve">GU-Pauschale von CHF 37.6 Mio. ist nicht positionsweise aufgeschlüsselt; Leistungsumfang gegenüber dem eigenen KV nicht verifizierbar.</t>
  </si>
  <si>
    <t xml:space="preserve">Positionsspiegel nach BKP als Vertragsbestandteil verlangen; Abgleich mit dem eigenen Leistungsverzeichnis vor Unterzeichnung.</t>
  </si>
  <si>
    <t xml:space="preserve">GP / Baumanagement</t>
  </si>
  <si>
    <t xml:space="preserve">Teuerung zwischen KV-Stand 10/2024 und Angebotsstand 04/2025 sowie über 24 Monate Bauzeit.</t>
  </si>
  <si>
    <t xml:space="preserve">Festpreis mit klar definierter Teuerungsklausel; Preisstand und Indexbasis im Werkvertrag festhalten.</t>
  </si>
  <si>
    <t xml:space="preserve">Bauherr / Recht</t>
  </si>
  <si>
    <t xml:space="preserve">Bauzinsen BKP 61 mit CHF 706'000 budgetiert; Rechenwert bei 65 % Fremdkapital und 24 Monaten liegt höher (siehe Register 02).</t>
  </si>
  <si>
    <t xml:space="preserve">Bauzinsbudget nachrechnen und an Finanzierungsstruktur anpassen; Zinsabsicherung prüfen.</t>
  </si>
  <si>
    <t xml:space="preserve">CFO</t>
  </si>
  <si>
    <t xml:space="preserve">Positionen Erstvermietung (BKP 557) und Nachbarentschädigung (BKP 562) mit CHF 0 budgetiert.</t>
  </si>
  <si>
    <t xml:space="preserve">Erstvermietungsbudget einstellen (Richtwert 2–4 Monatsmieten je Mietvertrag); Nachbarrechtliche Risiken abklären.</t>
  </si>
  <si>
    <t xml:space="preserve">Markt</t>
  </si>
  <si>
    <t xml:space="preserve">Mietzinsansätze stammen aus einem Quick-Check ohne Marktabklärung; Gewerbeflächen in Agglomerationslage sind preissensibel.</t>
  </si>
  <si>
    <t xml:space="preserve">Marktabklärung mit zwei unabhängigen Maklern; Vorvermietungsquote als Meilenstein vor Baufreigabe definieren.</t>
  </si>
  <si>
    <t xml:space="preserve">Bauherr / Vermarktung</t>
  </si>
  <si>
    <t xml:space="preserve">Kapitalisierungssatz für den Exit ist die grösste Einzelunsicherheit; 0.25 Prozentpunkte bewegen den Ertragswert um mehrere Millionen.</t>
  </si>
  <si>
    <t xml:space="preserve">Bewertung durch akkreditierten Schätzer vor Baufreigabe; Exit-Strategie und Haltedauer definieren.</t>
  </si>
  <si>
    <t xml:space="preserve">VR / Investor</t>
  </si>
  <si>
    <t xml:space="preserve">Absorption von 24'486 m² Geschossfläche in einer Etappe; Leerstandsrisiko in der Anlaufphase.</t>
  </si>
  <si>
    <t xml:space="preserve">Etappierung des Baus an Vorvermietung koppeln; Ankermieter vor Baufreigabe sichern.</t>
  </si>
  <si>
    <t xml:space="preserve">Vertrag</t>
  </si>
  <si>
    <t xml:space="preserve">Schnittstelle zwischen GU Tiefbau (CHF 7.5 Mio.) und GU Hochbau (CHF 37.6 Mio.) liegt beim Bauherrn.</t>
  </si>
  <si>
    <t xml:space="preserve">Schnittstellenmatrix als Vertragsbestandteil; Koordinationspflicht und Terminfolgen vertraglich zuweisen.</t>
  </si>
  <si>
    <t xml:space="preserve">Bonität des Generalunternehmers bei einer Pauschale dieser Grösse.</t>
  </si>
  <si>
    <t xml:space="preserve">Bonitätsprüfung, Erfüllungsgarantie 10 % und Garantiegarantie 5 %; Konzernhaftung prüfen.</t>
  </si>
  <si>
    <t xml:space="preserve">CFO / Recht</t>
  </si>
  <si>
    <t xml:space="preserve">Leistungsverschiebung im Baumanagement (–52 %) reduziert die eigene Kontrolle über Qualität und Termine.</t>
  </si>
  <si>
    <t xml:space="preserve">Eigene Bauherrenvertretung mit klarem Prüfauftrag bestücken; Abnahme- und Freigabeprozesse definieren.</t>
  </si>
  <si>
    <t xml:space="preserve">Bauherr</t>
  </si>
  <si>
    <t xml:space="preserve">Bewilligung</t>
  </si>
  <si>
    <t xml:space="preserve">Quartierplan-Erschliessung mit CHF 1'895'000 – Auflagen und Kostenteiler mit der Gemeinde.</t>
  </si>
  <si>
    <t xml:space="preserve">Erschliessungsvertrag und Kostenteiler mit der Gemeinde Elgg schriftlich fixieren, bevor der Werkvertrag unterzeichnet wird.</t>
  </si>
  <si>
    <t xml:space="preserve">GP / Recht</t>
  </si>
  <si>
    <t xml:space="preserve">Baurechtszins Parzelle EL5530 von CHF 684'000 für vier Jahre ist nicht in den Anlagekosten enthalten.</t>
  </si>
  <si>
    <t xml:space="preserve">Position in die Anlagekosten aufnehmen oder als separate Verpflichtung im Finanzierungsplan ausweisen.</t>
  </si>
  <si>
    <t xml:space="preserve">Steuern</t>
  </si>
  <si>
    <t xml:space="preserve">Behandlung der MwSt.: Optierung der Vermietung entscheidet über rund CHF 4.6 Mio. Vorsteuerabzug.</t>
  </si>
  <si>
    <t xml:space="preserve">Steuerliche Beurteilung und, falls angezeigt, Ruling bei der ESTV vor Baubeginn; Mietverträge auf Option ausrichten.</t>
  </si>
  <si>
    <t xml:space="preserve">CFO / Steuerberater</t>
  </si>
  <si>
    <t xml:space="preserve">Grundstückgewinnsteuer und Handänderungsfolgen bei Verkauf der Gewerbehäuser bzw. bei Share Deal.</t>
  </si>
  <si>
    <t xml:space="preserve">Transaktionsstruktur (Asset Deal / Share Deal) frühzeitig steuerlich beurteilen lassen.</t>
  </si>
  <si>
    <t xml:space="preserve">Partner</t>
  </si>
  <si>
    <t xml:space="preserve">Gewinnverteilung in der Baugesellschaft mit vier Partnern und Doppelrollen (Grundeigentümer zugleich Unternehmer).</t>
  </si>
  <si>
    <t xml:space="preserve">Interessenkonflikte offenlegen; Marktkonformität der TU-Vergaben an Partner nachweisen (Drittvergleich).</t>
  </si>
  <si>
    <t xml:space="preserve">VR</t>
  </si>
  <si>
    <t xml:space="preserve">Summe Erwartungswerte (nicht kumulierbar – nur als Grössenordnung)</t>
  </si>
  <si>
    <t xml:space="preserve">CHANCEN</t>
  </si>
  <si>
    <t xml:space="preserve">MwSt-Optierung</t>
  </si>
  <si>
    <t xml:space="preserve">Bei durchgehender Optierung der Gewerbevermietung sind rund CHF 4.6 Mio. Vorsteuer rückforderbar. Das senkt die Anlagekosten spürbar und hebt die Nettorendite um rund einen Viertelprozentpunkt.</t>
  </si>
  <si>
    <t xml:space="preserve">Verhandlungsposition</t>
  </si>
  <si>
    <t xml:space="preserve">Der eigene KV liegt nur 0.9 % über dem GU-Angebot und ist bis auf Positionsebene belegt. Das ist eine ungewöhnlich gute Ausgangslage für Nachverhandlungen – insbesondere bei den Positionen, die Methabau pauschal führt.</t>
  </si>
  <si>
    <t xml:space="preserve">Photovoltaik und Elektromobilität</t>
  </si>
  <si>
    <t xml:space="preserve">CHF 1.0 Mio. PV-Vorbereitung und CHF 433'000 Ladeinfrastruktur sind budgetiert. Beides lässt sich als separater Ertragsstrom (Contracting, Stromverkauf, Ladeinfrastruktur) ausgestalten und ist im heutigen Ertragsmodell nicht berücksichtigt.</t>
  </si>
  <si>
    <t xml:space="preserve">Etappierung</t>
  </si>
  <si>
    <t xml:space="preserve">Sieben weitgehend gleichartige Gewerbehäuser erlauben eine Etappierung nach Vermietungsstand. Das reduziert das Absorptionsrisiko erheblich, ohne die Skaleneffekte in Planung und Erschliessung aufzugeben.</t>
  </si>
  <si>
    <t xml:space="preserve">Landwertsteigerung bereits realisiert</t>
  </si>
  <si>
    <t xml:space="preserve">Die Wertschöpfung aus Quartierplan und Bewilligung von rund CHF 10.3 Mio. ist gesichert und im Landpreis eingepreist – das Projekt startet nicht bei null.</t>
  </si>
  <si>
    <t xml:space="preserve">Bauteuerung rückläufig</t>
  </si>
  <si>
    <t xml:space="preserve">Ein Werkvertrag mit Festpreis fixiert die grösste Unsicherheit. Bei stabilem Preisumfeld ist die Preissicherheit den engen Risikozuschlag von 2.7 % wert.</t>
  </si>
  <si>
    <t xml:space="preserve">Baugesellschaft und Gewinnaufteilung  ·  VERTRAULICH</t>
  </si>
  <si>
    <t xml:space="preserve">Übernommen aus dem Register «Y – Baugesellschaft G+R» der Ursprungsdatei. Nur für den internen Gebrauch.</t>
  </si>
  <si>
    <t xml:space="preserve">AUSGANGSLAGE LANDWERT UND ENTWICKLUNGSGEWINN</t>
  </si>
  <si>
    <t xml:space="preserve">Keller (beide)</t>
  </si>
  <si>
    <t xml:space="preserve">Müller</t>
  </si>
  <si>
    <t xml:space="preserve">Skyline Properties</t>
  </si>
  <si>
    <t xml:space="preserve">Grundstücksfläche Bauzone</t>
  </si>
  <si>
    <t xml:space="preserve">Gewinnverteilung gemäss Entwicklungsvertrag</t>
  </si>
  <si>
    <t xml:space="preserve">Landwert heute (Bauzone Baufelder A–D)</t>
  </si>
  <si>
    <t xml:space="preserve">Verkaufspreis Bauland inkl. Entwicklung</t>
  </si>
  <si>
    <t xml:space="preserve">Landwertsteigerung</t>
  </si>
  <si>
    <t xml:space="preserve">./. Projektaufwand</t>
  </si>
  <si>
    <t xml:space="preserve">davon Vorleistungen Grundeigentümer</t>
  </si>
  <si>
    <t xml:space="preserve">davon Stehbetrag Entwickler Skyline</t>
  </si>
  <si>
    <t xml:space="preserve">Gewinn zur Verteilung</t>
  </si>
  <si>
    <t xml:space="preserve">Netto-Auszahlung an die Partner</t>
  </si>
  <si>
    <t xml:space="preserve">EIGENMITTEL DER PARTNER PER FREIGABE BAUPROJEKT</t>
  </si>
  <si>
    <t xml:space="preserve">BH-Leistungen bis Freigabe Bauprojekt</t>
  </si>
  <si>
    <t xml:space="preserve">Bauprojekt vorfinanziert (Skyline / Urbanstreet)</t>
  </si>
  <si>
    <t xml:space="preserve">Berechneter Wert</t>
  </si>
  <si>
    <t xml:space="preserve">Eigenmittel gerundet, Stand Juli 2022</t>
  </si>
  <si>
    <t xml:space="preserve">Anteil an den Eigenmitteln</t>
  </si>
  <si>
    <t xml:space="preserve">GEWINNAUFTEILUNG NACH AUSTRITT MÜLLER  –  VIER PARTNER</t>
  </si>
  <si>
    <t xml:space="preserve">Ertragsquelle</t>
  </si>
  <si>
    <t xml:space="preserve">Keller AG
Ziegeleien</t>
  </si>
  <si>
    <t xml:space="preserve">Keller
Prefadom AG</t>
  </si>
  <si>
    <t xml:space="preserve">Skyline
Properties GmbH</t>
  </si>
  <si>
    <t xml:space="preserve">Urbanstreet AG
(Hüppi GU AG)</t>
  </si>
  <si>
    <t xml:space="preserve">Verteilschlüssel</t>
  </si>
  <si>
    <t xml:space="preserve">Prognose Gewinn aus Projektentwicklung</t>
  </si>
  <si>
    <t xml:space="preserve">Gewinn aus TU-Auftrag Hochbau</t>
  </si>
  <si>
    <t xml:space="preserve">Gewinn aus TU-Auftrag Tiefbau</t>
  </si>
  <si>
    <t xml:space="preserve">Zwischentotal Gewinn aus Unternehmerleistungen</t>
  </si>
  <si>
    <t xml:space="preserve">Ertrag aus Land und Entwicklung</t>
  </si>
  <si>
    <t xml:space="preserve">TOTAL je Partner</t>
  </si>
  <si>
    <t xml:space="preserve">Anteil je Partner am Gesamtergebnis</t>
  </si>
  <si>
    <t xml:space="preserve">Gruppe Keller total</t>
  </si>
  <si>
    <t xml:space="preserve">Gruppe Hüppi / Urbanstreet total</t>
  </si>
  <si>
    <t xml:space="preserve">DEAL-ECKWERTE AUS DER URSPRUNGSDATEI  –  HERLEITUNG NICHT DOKUMENTIERT</t>
  </si>
  <si>
    <t xml:space="preserve">Wert 1</t>
  </si>
  <si>
    <t xml:space="preserve">entspricht rechnerisch: Entwicklungskosten CHF 5'007'495 + Architektenhonorar CHF 2'900'000 + Quartierplan-Erschliessung CHF 1'895'000</t>
  </si>
  <si>
    <t xml:space="preserve">Wert 2</t>
  </si>
  <si>
    <t xml:space="preserve">entspricht rechnerisch: Entwicklungskosten CHF 5'007'495 + Architektenhonorar CHF 2'900'000</t>
  </si>
  <si>
    <t xml:space="preserve">Deal Urbanstreet</t>
  </si>
  <si>
    <t xml:space="preserve">als «Deal URS» bezeichnet</t>
  </si>
  <si>
    <t xml:space="preserve">Zuschlag Hüppi AG</t>
  </si>
  <si>
    <t xml:space="preserve">als «plus Hüppi AG» bezeichnet</t>
  </si>
  <si>
    <t xml:space="preserve">Total Deal</t>
  </si>
  <si>
    <t xml:space="preserve">Summe der beiden vorstehenden Positionen</t>
  </si>
  <si>
    <t xml:space="preserve">Transaktionsform</t>
  </si>
  <si>
    <t xml:space="preserve">Share Deal</t>
  </si>
  <si>
    <t xml:space="preserve">Anteilsübertragung statt Grundstückkauf – steuerlich vorab zu beurteilen</t>
  </si>
  <si>
    <t xml:space="preserve">Wichtiger Hinweis:  Die fünf Beträge oben stehen in der Ursprungsdatei ohne Beschriftung und ohne Formel unter der Vergleichstabelle. Die Zuordnung in der rechten Spalte ist eine Rekonstruktion aus den übrigen Zahlen der Datei – sie stimmt rechnerisch exakt, ist aber nicht belegt. Vor jeder Verwendung in einer Verhandlung oder in einem Vertragsdokument ist die Herleitung mit dem Ersteller der Ursprungsdatei zu bestätigen.
Zur Doppelrolle der Partner:  Zwei der vier Partner sind gleichzeitig Grundeigentümer und Unternehmer (TU Hochbau bzw. TU Tiefbau). Von den CHF 16.4 Mio. Gesamtergebnis stammen CHF 6.0 Mio. aus Unternehmerleistungen an das eigene Projekt. Für die Beurteilung des GU-Angebots bedeutet das: Der Drittvergleich der Vergaben an Partner ist zu dokumentieren – sowohl aus Governance-Sicht als auch steuerlich.</t>
  </si>
  <si>
    <t xml:space="preserve">Investor Summary</t>
  </si>
  <si>
    <t xml:space="preserve">Beurteilung und Entscheidungsvorlage – Stand der verfügbaren Unterlagen.</t>
  </si>
  <si>
    <t xml:space="preserve">1 · WORÜBER ENTSCHIEDEN WIRD</t>
  </si>
  <si>
    <t xml:space="preserve">Zur Beurteilung steht das Generalunternehmer-Angebot der Methabau AG vom 16.04.2025 über das Hochbauwerk des Gewerbeparks Campus Elgg, gemessen am eigenen Kostenvoranschlag der Urbanstreet Development AG vom 23.10.2024. Die Entscheidung lautet nicht «welche Zahl ist tiefer», sondern: Wird das Hochbauwerk als Pauschale an einen Generalunternehmer vergeben – mit Kostendach, Termingarantie und Gewährleistung aus einer Hand – oder in Einzelvergaben unter eigener Bauherrenregie realisiert?</t>
  </si>
  <si>
    <t xml:space="preserve">2 · DAS ZAHLENBILD</t>
  </si>
  <si>
    <t xml:space="preserve">Kennzahl</t>
  </si>
  <si>
    <t xml:space="preserve">KV Urbanstreet</t>
  </si>
  <si>
    <t xml:space="preserve">Angebot Methabau</t>
  </si>
  <si>
    <t xml:space="preserve">Anlagekosten total (inkl. MwSt.)</t>
  </si>
  <si>
    <t xml:space="preserve">gleichwertig</t>
  </si>
  <si>
    <t xml:space="preserve">davon Gebäude BKP 2</t>
  </si>
  <si>
    <t xml:space="preserve">einzige Abweichung</t>
  </si>
  <si>
    <t xml:space="preserve">davon Planerhonorare BKP 29</t>
  </si>
  <si>
    <t xml:space="preserve">im Richtwertband</t>
  </si>
  <si>
    <t xml:space="preserve">Gebäudekosten je m³ Gebäudevolumen</t>
  </si>
  <si>
    <t xml:space="preserve">3 · WAS FÜR DIE GU-VERGABE SPRICHT</t>
  </si>
  <si>
    <t xml:space="preserve">+</t>
  </si>
  <si>
    <t xml:space="preserve">Der Risikozuschlag ist mit +2.7 % auf die Hochbauleistungen aussergewöhnlich tief. Marktüblich sind für eine Pauschale mit Kostendach, Termingarantie und Gewährleistung aus einer Hand 5–10 %.</t>
  </si>
  <si>
    <t xml:space="preserve">Die Kostensicherheit greift genau dort, wo das Projekt am verletzlichsten ist: Register 09 zeigt, dass bereits eine Baukostenüberschreitung innerhalb der KV-Toleranz von + 10 % das Ergebnis in mehreren Kapitalisierungsszenarien ins Negative kippt.</t>
  </si>
  <si>
    <t xml:space="preserve">Die Übereinstimmung von 99.1 % über alle Hauptgruppen ist ein starker externer Beleg dafür, dass der eigene Kostenvoranschlag belastbar ist – unabhängig davon, wie am Ende vergeben wird.</t>
  </si>
  <si>
    <t xml:space="preserve">Die Entlastung im Baumanagement von CHF 940'000 reduziert den eigenen Personal- und Koordinationsaufwand über 24 Monate Bauzeit erheblich.</t>
  </si>
  <si>
    <t xml:space="preserve">4 · WAS DAGEGEN SPRICHT ODER OFFEN IST</t>
  </si>
  <si>
    <t xml:space="preserve">Der Pauschalpreis von CHF 37.6 Mio. ist nicht aufgeschlüsselt. Ohne Positionsspiegel nach BKP lässt sich nicht prüfen, ob Ausbaustandard, Haustechnik, Küchen, Elektromobilität und Bodenbeläge im gleichen Umfang enthalten sind wie im eigenen Kostenvoranschlag.</t>
  </si>
  <si>
    <t xml:space="preserve">Ein Risikozuschlag von 2.7 % kann auch bedeuten, dass Leistungen fehlen. Ein zu günstiges Angebot ist im Generalunternehmergeschäft kein Vorteil, sondern ein Nachtragsrisiko.</t>
  </si>
  <si>
    <t xml:space="preserve">Die Preisstände liegen rund sechs Monate auseinander; Teuerung und Teuerungsklausel sind nicht geklärt.</t>
  </si>
  <si>
    <t xml:space="preserve">Die Bonität des Generalunternehmers und die Sicherheiten (Erfüllungs- und Garantiegarantie) sind bei einer Pauschale dieser Grösse der zentrale Punkt und in den Unterlagen nicht dokumentiert.</t>
  </si>
  <si>
    <t xml:space="preserve">Die Schnittstelle zwischen GU Tiefbau (CHF 7.5 Mio.) und GU Hochbau (CHF 37.6 Mio.) bleibt beim Bauherrn – Baugrube, Werkleitungen und Umgebung sind der klassische Ort für Nachträge.</t>
  </si>
  <si>
    <t xml:space="preserve">5 · EMPFEHLUNG</t>
  </si>
  <si>
    <t xml:space="preserve">Vorab die unbequeme Zahl: Mit den Ansätzen der Ursprungsdatei trägt das Projekt im Basisfall eine Marge von rund 1.2 % der Anlagekosten. Der Break-even liegt einen halben Zehntelprozentpunkt neben dem angenommenen Kapitalisierungssatz und 1.9 % neben dem kalkulierten Mietertrag. Ein Projekt mit dieser Pufferbreite ist nicht durch eine bessere Vergabe zu retten – vor der Vergabefrage steht deshalb die Frage, ob Mietzinsansätze und Kapitalisierungssatz belastbar sind. Erst wenn diese beiden Grössen stehen, wird der Kostenvergleich entscheidungsrelevant.
Unter dieser Voraussetzung: Die Vergabe an den Generalunternehmer ist auf Basis der vorliegenden Zahlen wirtschaftlich vertretbar und risikoseitig vorteilhaft – jedoch nicht zum jetzigen Zeitpunkt und nicht ohne vier Bedingungen:
1.  Positionsspiegel nach BKP zur Pauschale von CHF 37.6 Mio. als Vertragsbestandteil, abgeglichen mit dem eigenen Leistungsverzeichnis. Ohne diesen Abgleich ist die Vergleichbarkeit nicht hergestellt und die Differenz von 0.9 % nicht interpretierbar.
2.  Anhebung der Reserve für Unvorhergesehenes auf mindestens 5 % der Erstellungskosten, das heisst von CHF 1.5 Mio. auf rund CHF 3.0 Mio. Das ist der wichtigste Einzelbefund dieser Analyse und betrifft das Projekt unabhängig von der Vergabeform.
3.  Marktabklärung zu den Mietzinsansätzen durch zwei unabhängige Stellen, bevor die Baufreigabe erteilt wird. Die Ertragsseite ist heute die schwächste Stelle der Kalkulation – ein Mietzinsrückgang von 15 % wiegt schwerer als der gesamte Kostenvergleich.
4.  Steuerliche Beurteilung der MwSt-Optierung und der Transaktionsstruktur (Share Deal) vor Baubeginn. Bei Optierung stehen rund CHF 4.6 Mio. Vorsteuer zur Rückforderung – das ist der grösste einzelne Renditehebel im ganzen Projekt und um ein Vielfaches grösser als die Differenz zwischen den beiden Kostenvoranschlägen.</t>
  </si>
  <si>
    <t xml:space="preserve">6 · NÄCHSTE SCHRITTE</t>
  </si>
  <si>
    <t xml:space="preserve">Frist</t>
  </si>
  <si>
    <t xml:space="preserve">Voraussetzung für</t>
  </si>
  <si>
    <t xml:space="preserve">Positionsspiegel BKP bei Methabau einfordern</t>
  </si>
  <si>
    <t xml:space="preserve">vor Vertragsverhandlung</t>
  </si>
  <si>
    <t xml:space="preserve">Vergabeentscheid</t>
  </si>
  <si>
    <t xml:space="preserve">Reserve BKP 63 neu bemessen und Finanzierung anpassen</t>
  </si>
  <si>
    <t xml:space="preserve">vor Finanzierungszusage</t>
  </si>
  <si>
    <t xml:space="preserve">Baufreigabe</t>
  </si>
  <si>
    <t xml:space="preserve">Marktabklärung Mietzinsen, zwei unabhängige Stellen</t>
  </si>
  <si>
    <t xml:space="preserve">vor Baufreigabe</t>
  </si>
  <si>
    <t xml:space="preserve">Bonitätsprüfung und Garantien GU</t>
  </si>
  <si>
    <t xml:space="preserve">vor Vertragsunterzeichnung</t>
  </si>
  <si>
    <t xml:space="preserve">Werkvertrag</t>
  </si>
  <si>
    <t xml:space="preserve">Steuerliche Beurteilung MwSt-Option und Share Deal</t>
  </si>
  <si>
    <t xml:space="preserve">vor Baubeginn</t>
  </si>
  <si>
    <t xml:space="preserve">Transaktionsstruktur</t>
  </si>
  <si>
    <t xml:space="preserve">Schnittstellenmatrix Tiefbau / Hochbau</t>
  </si>
  <si>
    <t xml:space="preserve">Drittvergleich der Vergaben an Partner dokumentieren</t>
  </si>
  <si>
    <t xml:space="preserve">laufend</t>
  </si>
  <si>
    <t xml:space="preserve">Governance / Steuern</t>
  </si>
  <si>
    <t xml:space="preserve">Erstvermietungsbudget und Vorvermietungsquote festlegen</t>
  </si>
  <si>
    <t xml:space="preserve">Glossar</t>
  </si>
  <si>
    <t xml:space="preserve">Fachbegriffe der Schweizer Immobilienentwicklung und Kostenplanung, wie sie in dieser Mappe verwendet werden.</t>
  </si>
  <si>
    <t xml:space="preserve">KOSTENPLANUNG UND BKP</t>
  </si>
  <si>
    <t xml:space="preserve">Baukostenplan nach CRB. Gliedert sämtliche Kosten eines Bauwerks in Hauptgruppen (0 Grundstück, 1 Vorbereitungsarbeiten, 2 Gebäude, 3 Betriebseinrichtungen, 4 Umgebung, 5 Baunebenkosten, 6 Bauherrenkosten, 9 Ausstattung). Der Schweizer Standard für Kostenvoranschlag und Kostenkontrolle.</t>
  </si>
  <si>
    <t xml:space="preserve">CRB, Norm SN 506 500</t>
  </si>
  <si>
    <t xml:space="preserve">eBKP-H</t>
  </si>
  <si>
    <t xml:space="preserve">Elementbasierter Baukostenplan Hochbau. Gliedert nach Bauteilen statt nach Arbeitsgattungen und ist für frühe Projektphasen aussagekräftiger. Diese Mappe folgt dem klassischen BKP, weil die Ursprungsdaten so aufgebaut sind.</t>
  </si>
  <si>
    <t xml:space="preserve">Norm SN 506 511</t>
  </si>
  <si>
    <t xml:space="preserve">Kostengrobschätzung</t>
  </si>
  <si>
    <t xml:space="preserve">Kostenaussage in der Phase strategische Planung. Genauigkeit rund ± 25 %.</t>
  </si>
  <si>
    <t xml:space="preserve">SIA 102 / SN 506 511</t>
  </si>
  <si>
    <t xml:space="preserve">Kostenschätzung</t>
  </si>
  <si>
    <t xml:space="preserve">Kostenaussage im Vorprojekt, meist auf Kennwerten je m² oder m³. Genauigkeit rund ± 15 %.</t>
  </si>
  <si>
    <t xml:space="preserve">Kostenvoranschlag</t>
  </si>
  <si>
    <t xml:space="preserve">Kostenaussage im Bauprojekt, positionsweise ermittelt. Genauigkeit rund ± 10 %. Die Kalkulation dieser Mappe ist ein Kostenvoranschlag – deshalb ist eine Differenz von 0.9 % ohne Aussagekraft.</t>
  </si>
  <si>
    <t xml:space="preserve">Kostendach</t>
  </si>
  <si>
    <t xml:space="preserve">Vertraglich vereinbarte Kostenobergrenze. Überschreitungen gehen zulasten des Unternehmers.</t>
  </si>
  <si>
    <t xml:space="preserve">SIA 118</t>
  </si>
  <si>
    <t xml:space="preserve">Summe aller Kosten von BKP 0 bis 9, also Grundstück plus Erstellung plus Nebenkosten. Massgebende Grösse für die Renditerechnung.</t>
  </si>
  <si>
    <t xml:space="preserve">Erstellungskosten</t>
  </si>
  <si>
    <t xml:space="preserve">Anlagekosten ohne Grundstück, also BKP 1 bis 9. Massgebend für Baukostenkennwerte und für die Bemessung der Reserve.</t>
  </si>
  <si>
    <t xml:space="preserve">Reserve für Unvorhergesehenes</t>
  </si>
  <si>
    <t xml:space="preserve">BKP 63. Deckt Kostenrisiken ab, die zum Zeitpunkt des Kostenvoranschlags nicht bezifferbar sind. Faustregel: mindestens so gross wie die Toleranz der Kostenaussage, üblich 5–10 % der Erstellungskosten bei einem Kostenvoranschlag.</t>
  </si>
  <si>
    <t xml:space="preserve">Teuerung</t>
  </si>
  <si>
    <t xml:space="preserve">Baupreisveränderung zwischen Preisstand des Kostenvoranschlags und Bauausführung. Im Werkvertrag entweder ausgeschlossen (Festpreis) oder über eine Indexklausel geregelt.</t>
  </si>
  <si>
    <t xml:space="preserve">BFS Baupreisindex</t>
  </si>
  <si>
    <t xml:space="preserve">GSF – Grundstücksfläche</t>
  </si>
  <si>
    <t xml:space="preserve">Fläche des Grundstücks gemäss Grundbuch.</t>
  </si>
  <si>
    <t xml:space="preserve">SIA 416</t>
  </si>
  <si>
    <t xml:space="preserve">GF – Geschossfläche</t>
  </si>
  <si>
    <t xml:space="preserve">Summe aller Grundrissflächen der Geschosse, inklusive Konstruktionsflächen. Bezugsgrösse für Kostenkennwerte je m².</t>
  </si>
  <si>
    <t xml:space="preserve">HNF – Hauptnutzfläche</t>
  </si>
  <si>
    <t xml:space="preserve">Der Teil der Nutzfläche, der der Zweckbestimmung dient. Bezugsgrösse für Mietzinsen.</t>
  </si>
  <si>
    <t xml:space="preserve">GV – Gebäudevolumen</t>
  </si>
  <si>
    <t xml:space="preserve">Rauminhalt des Gebäudes. Klassische Bezugsgrösse für Kostenkennwerte im Hochbau (CHF/m³).</t>
  </si>
  <si>
    <t xml:space="preserve">Ausnutzungsziffer</t>
  </si>
  <si>
    <t xml:space="preserve">Verhältnis der anrechenbaren Geschossfläche zur anrechenbaren Grundstücksfläche. Bestimmt, wie viel gebaut werden darf.</t>
  </si>
  <si>
    <t xml:space="preserve">kantonales Baurecht</t>
  </si>
  <si>
    <t xml:space="preserve">Quartierplan</t>
  </si>
  <si>
    <t xml:space="preserve">Nutzungsplanerisches Instrument im Kanton Zürich zur Erschliessung und Parzellierung eines Gebiets. Erzeugt in der Regel den grössten Teil der Landwertsteigerung.</t>
  </si>
  <si>
    <t xml:space="preserve">PBG ZH</t>
  </si>
  <si>
    <t xml:space="preserve">VERGABE UND VERTRAG</t>
  </si>
  <si>
    <t xml:space="preserve">GP – Generalplaner</t>
  </si>
  <si>
    <t xml:space="preserve">Übernimmt sämtliche Planerleistungen aus einer Hand und haftet dafür. Rolle der Urbanstreet Development AG in diesem Projekt.</t>
  </si>
  <si>
    <t xml:space="preserve">SIA 102 / 112</t>
  </si>
  <si>
    <t xml:space="preserve">GU – Generalunternehmer</t>
  </si>
  <si>
    <t xml:space="preserve">Übernimmt die gesamte Bauausführung zu einem Pauschal- oder Globalpreis, meist ab Bauprojekt. Rolle der Methabau AG im vorliegenden Angebot.</t>
  </si>
  <si>
    <t xml:space="preserve">TU – Totalunternehmer</t>
  </si>
  <si>
    <t xml:space="preserve">Wie GU, zusätzlich mit der Planung. In dieser Mappe bezeichnet «TU-Auftrag» die Bauleistungen der Partnerfirmen an das eigene Projekt.</t>
  </si>
  <si>
    <t xml:space="preserve">Pauschalpreis</t>
  </si>
  <si>
    <t xml:space="preserve">Fester Preis für eine umschriebene Leistung, unabhängig vom tatsächlichen Aufwand. Verlagert das Mengenrisiko zum Unternehmer – setzt aber ein präzises Leistungsverzeichnis voraus.</t>
  </si>
  <si>
    <t xml:space="preserve">SIA 118 Art. 40</t>
  </si>
  <si>
    <t xml:space="preserve">Positionsspiegel</t>
  </si>
  <si>
    <t xml:space="preserve">Aufschlüsselung eines Pauschalpreises nach BKP-Positionen. Ohne ihn ist ein Pauschalangebot nicht mit einem Kostenvoranschlag vergleichbar.</t>
  </si>
  <si>
    <t xml:space="preserve">Erfüllungsgarantie</t>
  </si>
  <si>
    <t xml:space="preserve">Bankgarantie zur Absicherung der Vertragserfüllung, üblich 10 % der Werkvertragssumme.</t>
  </si>
  <si>
    <t xml:space="preserve">Garantiegarantie</t>
  </si>
  <si>
    <t xml:space="preserve">Bankgarantie für die Gewährleistungsphase, üblich 5 % über zwei Jahre.</t>
  </si>
  <si>
    <t xml:space="preserve">SIA 118 / OR</t>
  </si>
  <si>
    <t xml:space="preserve">Baugesellschaft</t>
  </si>
  <si>
    <t xml:space="preserve">Einfache Gesellschaft mehrerer Partner zur gemeinsamen Realisierung eines Bauvorhabens. Gewinn und Verlust werden nach vereinbartem Schlüssel verteilt.</t>
  </si>
  <si>
    <t xml:space="preserve">OR Art. 530 ff.</t>
  </si>
  <si>
    <t xml:space="preserve">Drittvergleich</t>
  </si>
  <si>
    <t xml:space="preserve">Nachweis, dass ein Geschäft zwischen nahestehenden Parteien zu Bedingungen wie unter unabhängigen Dritten abgeschlossen wurde. Relevant bei Vergaben an Partner der Baugesellschaft.</t>
  </si>
  <si>
    <t xml:space="preserve">Steuerrecht / Governance</t>
  </si>
  <si>
    <t xml:space="preserve">ERTRAG UND BEWERTUNG</t>
  </si>
  <si>
    <t xml:space="preserve">Mietertrag bei vollständiger Vermietung zu den kalkulierten Ansätzen. Ausgangspunkt jeder Ertragsrechnung.</t>
  </si>
  <si>
    <t xml:space="preserve">Soll-Mietertrag abzüglich Leerstand und Mietzinsausfall.</t>
  </si>
  <si>
    <t xml:space="preserve">NOI – Nettomietertrag</t>
  </si>
  <si>
    <t xml:space="preserve">Net Operating Income. Effektiver Mietertrag abzüglich der nicht auf die Mieter überwälzbaren Betriebs- und Unterhaltskosten. Bewertungsrelevante Grösse.</t>
  </si>
  <si>
    <t xml:space="preserve">Bruttorendite</t>
  </si>
  <si>
    <t xml:space="preserve">Soll-Mietertrag geteilt durch die Anlagekosten. Grobe, aber verbreitete Vergleichsgrösse.</t>
  </si>
  <si>
    <t xml:space="preserve">Nettorendite</t>
  </si>
  <si>
    <t xml:space="preserve">NOI geteilt durch die Anlagekosten. Aussagekräftiger als die Bruttorendite, weil die Bewirtschaftungskosten berücksichtigt sind.</t>
  </si>
  <si>
    <t xml:space="preserve">Satz, mit dem der NOI in einen Ertragswert umgerechnet wird. Der stärkste Werttreiber überhaupt: ein Viertelprozentpunkt verändert den Wert um mehrere Prozent.</t>
  </si>
  <si>
    <t xml:space="preserve">NOI geteilt durch den Kapitalisierungssatz. Vereinfachte Bewertung ohne Diskontierung über die Zeit – für Entscheidungen auf Stufe Vorprojekt üblich und robust.</t>
  </si>
  <si>
    <t xml:space="preserve">DCF</t>
  </si>
  <si>
    <t xml:space="preserve">Discounted-Cash-Flow-Bewertung. Diskontiert die künftigen Zahlungsströme einzeln. Genauer als die Ertragswertmethode, aber erst sinnvoll, wenn Mietverträge und Investitionszyklen bekannt sind.</t>
  </si>
  <si>
    <t xml:space="preserve">SVKG / Swiss Valuation Standard</t>
  </si>
  <si>
    <t xml:space="preserve">Projektmarge</t>
  </si>
  <si>
    <t xml:space="preserve">Projektgewinn im Verhältnis zu den Anlagekosten. Richtwert für Schweizer Entwicklungsprojekte je nach Risiko 8–15 %.</t>
  </si>
  <si>
    <t xml:space="preserve">Break-even</t>
  </si>
  <si>
    <t xml:space="preserve">Wert eines Treibers, bei dem der Projektgewinn null wird. Der Abstand dorthin ist das eigentliche Mass für die Robustheit einer Kalkulation.</t>
  </si>
  <si>
    <t xml:space="preserve">Core-Plus</t>
  </si>
  <si>
    <t xml:space="preserve">Anlagestil für Liegenschaften mit stabilem Ertrag und moderatem Wertsteigerungspotenzial. Typische Zielrendite auf dem Eigenkapital in der Schweiz 6–10 %.</t>
  </si>
  <si>
    <t xml:space="preserve">STEUERN UND TRANSAKTION</t>
  </si>
  <si>
    <t xml:space="preserve">Freiwillige Unterstellung der Vermietung unter die Mehrwertsteuer. Möglich bei Vermietung an steuerpflichtige Mieter, also im Gewerbebereich die Regel. Folge: Vorsteuerabzug auf den Erstellungskosten.</t>
  </si>
  <si>
    <t xml:space="preserve">MWSTG Art. 22</t>
  </si>
  <si>
    <t xml:space="preserve">Vorsteuerabzug</t>
  </si>
  <si>
    <t xml:space="preserve">Rückforderung der auf Investitionen bezahlten Mehrwertsteuer. Bei diesem Projekt rund CHF 4.6 Mio. – der grösste einzelne Renditehebel.</t>
  </si>
  <si>
    <t xml:space="preserve">MWSTG</t>
  </si>
  <si>
    <t xml:space="preserve">Asset Deal</t>
  </si>
  <si>
    <t xml:space="preserve">Verkauf der Liegenschaft selbst. Löst Grundstückgewinnsteuer und Handänderungsabgaben aus.</t>
  </si>
  <si>
    <t xml:space="preserve">Verkauf der Anteile an der Gesellschaft, die die Liegenschaft hält. Steuerliche Behandlung je nach Kanton unterschiedlich; in der Ursprungsdatei als Transaktionsform vermerkt.</t>
  </si>
  <si>
    <t xml:space="preserve">Grundstückgewinnsteuer</t>
  </si>
  <si>
    <t xml:space="preserve">Kantonale Steuer auf dem Gewinn aus der Veräusserung eines Grundstücks. Im Kanton Zürich monistisches System, Besitzdauer wirkt stark auf den Satz.</t>
  </si>
  <si>
    <t xml:space="preserve">StG ZH</t>
  </si>
  <si>
    <t xml:space="preserve">Baurechtszins</t>
  </si>
  <si>
    <t xml:space="preserve">Entgelt für die Nutzung eines fremden Grundstücks im Baurecht. Im vorliegenden Projekt CHF 684'000 für vier Jahre auf Parzelle EL5530 – nicht in den Anlagekosten enthalten.</t>
  </si>
  <si>
    <t xml:space="preserve">ZGB Art. 779</t>
  </si>
  <si>
    <t xml:space="preserve">Quellen und Methodik</t>
  </si>
  <si>
    <t xml:space="preserve">Woher jede Zahl stammt und wie gerechnet wurde.</t>
  </si>
  <si>
    <t xml:space="preserve">DATENHERKUNFT</t>
  </si>
  <si>
    <t xml:space="preserve">Register dieser Mappe</t>
  </si>
  <si>
    <t xml:space="preserve">Quelle in der Ursprungsdatei</t>
  </si>
  <si>
    <t xml:space="preserve">Was übernommen bzw. ergänzt wurde</t>
  </si>
  <si>
    <t xml:space="preserve">Status</t>
  </si>
  <si>
    <t xml:space="preserve">Register «Vergleich URS-METHA», Zeilen 5–144</t>
  </si>
  <si>
    <t xml:space="preserve">Sämtliche BKP-Positionen mit den Werten beider Kalkulationen, unverändert übernommen. Summen als Formeln neu aufgebaut und gegen das Original abgeglichen.</t>
  </si>
  <si>
    <t xml:space="preserve">Originaldaten</t>
  </si>
  <si>
    <t xml:space="preserve">abgeleitet aus Register 03</t>
  </si>
  <si>
    <t xml:space="preserve">Verdichtung auf BKP-Hauptgruppen, Kennwerte je m² GF und je m³ GV ergänzt.</t>
  </si>
  <si>
    <t xml:space="preserve">berechnet</t>
  </si>
  <si>
    <t xml:space="preserve">Kostenbrücke und Einordnung. Die Interpretation der Leistungsverschiebung ist eine Auswertung, keine Angabe der Ursprungsdatei.</t>
  </si>
  <si>
    <t xml:space="preserve">berechnet / Auswertung</t>
  </si>
  <si>
    <t xml:space="preserve">Kennwerte aus Register 03/04; Richtwerte ergänzt</t>
  </si>
  <si>
    <t xml:space="preserve">Die Richtwertbandbreiten sind Erfahrungswerte für Schweizer Gewerbe- und Verwaltungsbauten und als Eingabewerte gestaltet. Sie stammen nicht aus der Ursprungsdatei und ersetzen keine Kostenkennwertdatenbank.</t>
  </si>
  <si>
    <t xml:space="preserve">ANNAHME – zu validieren</t>
  </si>
  <si>
    <t xml:space="preserve">Register «B_Basis Vertrag L&amp;E» und «Y – Baugesellschaft G+R»</t>
  </si>
  <si>
    <t xml:space="preserve">Parzellen, Flächen, Entwicklungs- und Landkosten, Landwerte je m² unverändert übernommen.</t>
  </si>
  <si>
    <t xml:space="preserve">Register «X – Quick Check Ertrag»</t>
  </si>
  <si>
    <t xml:space="preserve">Mietflächen, Mietzinsansätze und Parkplatzzahlen übernommen. Die Betriebsrechnung (Leerstand, Bewirtschaftungskosten, Kapitalisierung, Transaktionskosten) ist neu aufgebaut; diese vier Parameter sind Annahmen.</t>
  </si>
  <si>
    <t xml:space="preserve">gemischt</t>
  </si>
  <si>
    <t xml:space="preserve">abgeleitet aus Register 08</t>
  </si>
  <si>
    <t xml:space="preserve">Drei Matrizen, vollständig als Formeln.</t>
  </si>
  <si>
    <t xml:space="preserve">Treiberwerte für Worst und Best Case sind Annahmen; der Base Case übernimmt die Ursprungsannahmen unverändert.</t>
  </si>
  <si>
    <t xml:space="preserve">ANNAHME</t>
  </si>
  <si>
    <t xml:space="preserve">Auswertung der Gesamtunterlagen</t>
  </si>
  <si>
    <t xml:space="preserve">Risiken, Eintrittswahrscheinlichkeiten und Auswirkungen sind eine Einschätzung auf Basis der vorliegenden Zahlen, keine Angabe der Ursprungsdatei.</t>
  </si>
  <si>
    <t xml:space="preserve">Einschätzung</t>
  </si>
  <si>
    <t xml:space="preserve">Register «Y – Baugesellschaft G+R», Zeilen 1–33, und Register «Vergleich URS-METHA», Zeilen 147–157</t>
  </si>
  <si>
    <t xml:space="preserve">Alle Beträge unverändert übernommen. Die Zuordnung der fünf unbeschrifteten Deal-Beträge ist eine Rekonstruktion und ausdrücklich als solche gekennzeichnet.</t>
  </si>
  <si>
    <t xml:space="preserve">Originaldaten / Rekonstruktion</t>
  </si>
  <si>
    <t xml:space="preserve">Auswertung aller Register</t>
  </si>
  <si>
    <t xml:space="preserve">Beurteilung und Empfehlung.</t>
  </si>
  <si>
    <t xml:space="preserve">RECHENWEGE</t>
  </si>
  <si>
    <t xml:space="preserve">Summenbildung BKP</t>
  </si>
  <si>
    <t xml:space="preserve">Jede Hauptgruppe ist die Summe ihrer unmittelbaren Untergruppen, jede Untergruppe die Summe ihrer Positionen. Keine Summe ist hart eingetragen; die Mappe rechnet vollständig durch.</t>
  </si>
  <si>
    <t xml:space="preserve">Soll-Mietertrag × (1 – Leerstandsrate) – Soll-Mietertrag × Bewirtschaftungskostenquote. Die Bewirtschaftungskosten werden bewusst auf den Soll- und nicht auf den effektiven Mietertrag bezogen, weil sie weitgehend unabhängig vom Leerstand anfallen.</t>
  </si>
  <si>
    <t xml:space="preserve">NOI geteilt durch den Kapitalisierungssatz. Bewusst ohne Diskontierung über die Zeit – auf Stufe Vorprojekt ist die Scheingenauigkeit einer DCF-Rechnung ohne bekannte Mietverträge nicht gerechtfertigt.</t>
  </si>
  <si>
    <t xml:space="preserve">Ertragswert abzüglich Transaktionskosten abzüglich Anlagekosten. Entwicklungsgewinn aus der Landwertsteigerung ist nicht enthalten, weil er im Landpreis von CHF 15.0 Mio. bereits abgegolten ist.</t>
  </si>
  <si>
    <t xml:space="preserve">MwSt-Betrachtung</t>
  </si>
  <si>
    <t xml:space="preserve">Der Mehrwertsteuersatz wird auf die Erstellungskosten BKP 1–6 angewendet; das Grundstück BKP 0 bleibt ausgenommen. Vereinfachung: Ein kleiner Teil der Entwicklungskosten in BKP 0 wäre ebenfalls vorsteuerbelastet, was hier zugunsten der Vorsicht nicht berücksichtigt ist.</t>
  </si>
  <si>
    <t xml:space="preserve">Break-even-Werte</t>
  </si>
  <si>
    <t xml:space="preserve">Rückrechnung aus der Bedingung Projektgewinn = 0, jeweils unter Konstanthaltung aller übrigen Treiber.</t>
  </si>
  <si>
    <t xml:space="preserve">Risikobewertung</t>
  </si>
  <si>
    <t xml:space="preserve">Erwartungswert = Eintrittswahrscheinlichkeit (Skala 1–5, geteilt durch 5) × finanzielle Auswirkung. Die Summe der Erwartungswerte ist eine Grössenordnung, keine kumulierbare Verpflichtung.</t>
  </si>
  <si>
    <t xml:space="preserve">WAS DIESE MAPPE NICHT LEISTET</t>
  </si>
  <si>
    <t xml:space="preserve">Sie ersetzt weder eine Verkehrswertschätzung nach anerkanntem Standard noch eine Due Diligence, weder eine steuerliche noch eine rechtliche Beurteilung. Sie enthält keine Prüfung der technischen Machbarkeit, keine Baugrund- oder Altlastenbeurteilung und keine Beurteilung der Bewilligungsfähigkeit.
Die Ertragsseite beruht auf Grobwerten aus einem Quick-Check und ist ohne Marktabklärung nicht entscheidungsreif. Die Benchmarks sind Erfahrungsbandbreiten und keine erhobenen Kennwerte.
Was sie leistet: Sie macht die vorhandenen Zahlen vollständig nachvollziehbar, zeigt, wo die Differenz zwischen den beiden Kalkulationen tatsächlich herkommt, und stellt die Kostenfrage in das Verhältnis zu den Grössen, die über den Projekterfolg wirklich entscheiden.</t>
  </si>
</sst>
</file>

<file path=xl/styles.xml><?xml version="1.0" encoding="utf-8"?>
<styleSheet xmlns="http://schemas.openxmlformats.org/spreadsheetml/2006/main">
  <numFmts count="15">
    <numFmt numFmtId="164" formatCode="General"/>
    <numFmt numFmtId="165" formatCode="#,##0;[RED]\-#,##0;\–"/>
    <numFmt numFmtId="166" formatCode="\+#,##0;[RED]\-#,##0;\–"/>
    <numFmt numFmtId="167" formatCode="\+0.0%;[RED]\-0.0%;\–"/>
    <numFmt numFmtId="168" formatCode="#,##0.00;[RED]\-#,##0.00;\–"/>
    <numFmt numFmtId="169" formatCode="0.0%"/>
    <numFmt numFmtId="170" formatCode="0.00%"/>
    <numFmt numFmtId="171" formatCode="\+0.00%;[RED]\-0.00%;\–"/>
    <numFmt numFmtId="172" formatCode="0.00"/>
    <numFmt numFmtId="173" formatCode="0"/>
    <numFmt numFmtId="174" formatCode="#,##0.00"/>
    <numFmt numFmtId="175" formatCode="0.0%;\-0.0%;\–"/>
    <numFmt numFmtId="176" formatCode="#,##0"/>
    <numFmt numFmtId="177" formatCode="#,##0.0"/>
    <numFmt numFmtId="178" formatCode="\+0%;\-0%;&quot;Basis&quot;"/>
  </numFmts>
  <fonts count="50">
    <font>
      <sz val="11"/>
      <color theme="1"/>
      <name val="Calibri"/>
      <family val="2"/>
      <charset val="1"/>
    </font>
    <font>
      <sz val="10"/>
      <name val="Arial"/>
      <family val="0"/>
    </font>
    <font>
      <sz val="10"/>
      <name val="Arial"/>
      <family val="0"/>
    </font>
    <font>
      <sz val="10"/>
      <name val="Arial"/>
      <family val="0"/>
    </font>
    <font>
      <b val="true"/>
      <sz val="8"/>
      <color rgb="FFB3B88A"/>
      <name val="Arial"/>
      <family val="0"/>
      <charset val="1"/>
    </font>
    <font>
      <b val="true"/>
      <sz val="16"/>
      <color rgb="FFFFFFFF"/>
      <name val="Arial"/>
      <family val="0"/>
      <charset val="1"/>
    </font>
    <font>
      <sz val="9"/>
      <color rgb="FFC6CFAA"/>
      <name val="Arial"/>
      <family val="0"/>
      <charset val="1"/>
    </font>
    <font>
      <b val="true"/>
      <sz val="12"/>
      <color rgb="FF464930"/>
      <name val="Arial"/>
      <family val="0"/>
      <charset val="1"/>
    </font>
    <font>
      <sz val="10"/>
      <color rgb="FF1F261A"/>
      <name val="Arial"/>
      <family val="0"/>
      <charset val="1"/>
    </font>
    <font>
      <b val="true"/>
      <sz val="9"/>
      <color rgb="FF464930"/>
      <name val="Arial"/>
      <family val="0"/>
      <charset val="1"/>
    </font>
    <font>
      <sz val="10"/>
      <color rgb="FF68705F"/>
      <name val="Arial"/>
      <family val="0"/>
      <charset val="1"/>
    </font>
    <font>
      <b val="true"/>
      <sz val="10"/>
      <color rgb="FF1F261A"/>
      <name val="Arial"/>
      <family val="0"/>
      <charset val="1"/>
    </font>
    <font>
      <sz val="9"/>
      <color rgb="FF68705F"/>
      <name val="Arial"/>
      <family val="0"/>
      <charset val="1"/>
    </font>
    <font>
      <sz val="8"/>
      <color rgb="FF68705F"/>
      <name val="Arial"/>
      <family val="0"/>
      <charset val="1"/>
    </font>
    <font>
      <b val="true"/>
      <sz val="8"/>
      <color rgb="FF66401F"/>
      <name val="Arial"/>
      <family val="0"/>
      <charset val="1"/>
    </font>
    <font>
      <b val="true"/>
      <sz val="8"/>
      <color rgb="FFFFFFFF"/>
      <name val="Arial"/>
      <family val="0"/>
      <charset val="1"/>
    </font>
    <font>
      <b val="true"/>
      <sz val="16"/>
      <color rgb="FF5D603E"/>
      <name val="Arial"/>
      <family val="0"/>
      <charset val="1"/>
    </font>
    <font>
      <b val="true"/>
      <sz val="16"/>
      <color rgb="FF5A7D20"/>
      <name val="Arial"/>
      <family val="0"/>
      <charset val="1"/>
    </font>
    <font>
      <b val="true"/>
      <sz val="16"/>
      <color rgb="FFB18726"/>
      <name val="Arial"/>
      <family val="0"/>
      <charset val="1"/>
    </font>
    <font>
      <sz val="7"/>
      <color rgb="FF68705F"/>
      <name val="Arial"/>
      <family val="0"/>
      <charset val="1"/>
    </font>
    <font>
      <b val="true"/>
      <sz val="16"/>
      <color rgb="FF66401F"/>
      <name val="Arial"/>
      <family val="0"/>
      <charset val="1"/>
    </font>
    <font>
      <b val="true"/>
      <sz val="9"/>
      <color rgb="FFFFFFFF"/>
      <name val="Arial"/>
      <family val="0"/>
      <charset val="1"/>
    </font>
    <font>
      <b val="true"/>
      <sz val="9"/>
      <color rgb="FF1F261A"/>
      <name val="Arial"/>
      <family val="0"/>
      <charset val="1"/>
    </font>
    <font>
      <b val="true"/>
      <sz val="8"/>
      <color rgb="FF68705F"/>
      <name val="Arial"/>
      <family val="0"/>
      <charset val="1"/>
    </font>
    <font>
      <sz val="8"/>
      <color rgb="FF0000FF"/>
      <name val="Arial"/>
      <family val="0"/>
      <charset val="1"/>
    </font>
    <font>
      <sz val="8"/>
      <color rgb="FF1F261A"/>
      <name val="Arial"/>
      <family val="0"/>
      <charset val="1"/>
    </font>
    <font>
      <sz val="8"/>
      <color rgb="FF008000"/>
      <name val="Arial"/>
      <family val="0"/>
      <charset val="1"/>
    </font>
    <font>
      <sz val="10"/>
      <color rgb="FF0000FF"/>
      <name val="Arial"/>
      <family val="0"/>
      <charset val="1"/>
    </font>
    <font>
      <b val="true"/>
      <sz val="10"/>
      <color rgb="FF008000"/>
      <name val="Arial"/>
      <family val="0"/>
      <charset val="1"/>
    </font>
    <font>
      <sz val="10"/>
      <color rgb="FF008000"/>
      <name val="Arial"/>
      <family val="0"/>
      <charset val="1"/>
    </font>
    <font>
      <b val="true"/>
      <sz val="10"/>
      <color rgb="FF464930"/>
      <name val="Arial"/>
      <family val="0"/>
      <charset val="1"/>
    </font>
    <font>
      <sz val="9"/>
      <color rgb="FF1F261A"/>
      <name val="Arial"/>
      <family val="0"/>
      <charset val="1"/>
    </font>
    <font>
      <sz val="8"/>
      <color rgb="FF66401F"/>
      <name val="Arial"/>
      <family val="0"/>
      <charset val="1"/>
    </font>
    <font>
      <sz val="8"/>
      <color rgb="FFB18726"/>
      <name val="Arial"/>
      <family val="0"/>
      <charset val="1"/>
    </font>
    <font>
      <b val="true"/>
      <sz val="11"/>
      <color rgb="FFFFFFFF"/>
      <name val="Arial"/>
      <family val="0"/>
      <charset val="1"/>
    </font>
    <font>
      <b val="true"/>
      <sz val="9"/>
      <color rgb="FF5A7D20"/>
      <name val="Arial"/>
      <family val="0"/>
      <charset val="1"/>
    </font>
    <font>
      <b val="true"/>
      <sz val="10"/>
      <color rgb="FFFFFFFF"/>
      <name val="Arial"/>
      <family val="0"/>
      <charset val="1"/>
    </font>
    <font>
      <b val="true"/>
      <sz val="18"/>
      <color rgb="FF000000"/>
      <name val="Calibri"/>
      <family val="2"/>
    </font>
    <font>
      <sz val="10"/>
      <color rgb="FF000000"/>
      <name val="Calibri"/>
      <family val="2"/>
    </font>
    <font>
      <sz val="8"/>
      <color rgb="FFBFBFBF"/>
      <name val="Arial"/>
      <family val="0"/>
      <charset val="1"/>
    </font>
    <font>
      <b val="true"/>
      <sz val="10"/>
      <color rgb="FF68705F"/>
      <name val="Arial"/>
      <family val="0"/>
      <charset val="1"/>
    </font>
    <font>
      <b val="true"/>
      <sz val="11"/>
      <color rgb="FF5D603E"/>
      <name val="Arial"/>
      <family val="0"/>
      <charset val="1"/>
    </font>
    <font>
      <sz val="11"/>
      <color rgb="FF5D603E"/>
      <name val="Arial"/>
      <family val="0"/>
      <charset val="1"/>
    </font>
    <font>
      <sz val="8"/>
      <color rgb="FF5A7D20"/>
      <name val="Arial"/>
      <family val="0"/>
      <charset val="1"/>
    </font>
    <font>
      <b val="true"/>
      <sz val="8"/>
      <color rgb="FF464930"/>
      <name val="Arial"/>
      <family val="0"/>
      <charset val="1"/>
    </font>
    <font>
      <b val="true"/>
      <sz val="10"/>
      <color rgb="FF000000"/>
      <name val="Calibri"/>
      <family val="2"/>
    </font>
    <font>
      <b val="true"/>
      <sz val="10"/>
      <color rgb="FF0000FF"/>
      <name val="Arial"/>
      <family val="0"/>
      <charset val="1"/>
    </font>
    <font>
      <b val="true"/>
      <sz val="12"/>
      <color rgb="FF5A7D20"/>
      <name val="Arial"/>
      <family val="0"/>
      <charset val="1"/>
    </font>
    <font>
      <b val="true"/>
      <sz val="12"/>
      <color rgb="FF66401F"/>
      <name val="Arial"/>
      <family val="0"/>
      <charset val="1"/>
    </font>
    <font>
      <b val="true"/>
      <sz val="8"/>
      <color rgb="FF5A7D20"/>
      <name val="Arial"/>
      <family val="0"/>
      <charset val="1"/>
    </font>
  </fonts>
  <fills count="10">
    <fill>
      <patternFill patternType="none"/>
    </fill>
    <fill>
      <patternFill patternType="gray125"/>
    </fill>
    <fill>
      <patternFill patternType="solid">
        <fgColor rgb="FF2E3234"/>
        <bgColor rgb="FF1F261A"/>
      </patternFill>
    </fill>
    <fill>
      <patternFill patternType="solid">
        <fgColor rgb="FFECEEDD"/>
        <bgColor rgb="FFEBEEDA"/>
      </patternFill>
    </fill>
    <fill>
      <patternFill patternType="solid">
        <fgColor rgb="FF5D603E"/>
        <bgColor rgb="FF68705F"/>
      </patternFill>
    </fill>
    <fill>
      <patternFill patternType="solid">
        <fgColor rgb="FF5A7D20"/>
        <bgColor rgb="FF68705F"/>
      </patternFill>
    </fill>
    <fill>
      <patternFill patternType="solid">
        <fgColor rgb="FFB18726"/>
        <bgColor rgb="FF8A6410"/>
      </patternFill>
    </fill>
    <fill>
      <patternFill patternType="solid">
        <fgColor rgb="FFEBEEDA"/>
        <bgColor rgb="FFECEEDD"/>
      </patternFill>
    </fill>
    <fill>
      <patternFill patternType="solid">
        <fgColor rgb="FF66401F"/>
        <bgColor rgb="FF464930"/>
      </patternFill>
    </fill>
    <fill>
      <patternFill patternType="solid">
        <fgColor rgb="FFF8EFD4"/>
        <bgColor rgb="FFEDF3DA"/>
      </patternFill>
    </fill>
  </fills>
  <borders count="19">
    <border diagonalUp="false" diagonalDown="false">
      <left/>
      <right/>
      <top/>
      <bottom/>
      <diagonal/>
    </border>
    <border diagonalUp="false" diagonalDown="false">
      <left/>
      <right/>
      <top/>
      <bottom style="thin">
        <color rgb="FF5D603E"/>
      </bottom>
      <diagonal/>
    </border>
    <border diagonalUp="false" diagonalDown="false">
      <left/>
      <right/>
      <top/>
      <bottom style="hair">
        <color rgb="FFDDE3C9"/>
      </bottom>
      <diagonal/>
    </border>
    <border diagonalUp="false" diagonalDown="false">
      <left style="thin">
        <color rgb="FF5D603E"/>
      </left>
      <right style="thin">
        <color rgb="FF5D603E"/>
      </right>
      <top style="thin">
        <color rgb="FF5D603E"/>
      </top>
      <bottom/>
      <diagonal/>
    </border>
    <border diagonalUp="false" diagonalDown="false">
      <left style="thin">
        <color rgb="FF5A7D20"/>
      </left>
      <right style="thin">
        <color rgb="FF5A7D20"/>
      </right>
      <top style="thin">
        <color rgb="FF5A7D20"/>
      </top>
      <bottom/>
      <diagonal/>
    </border>
    <border diagonalUp="false" diagonalDown="false">
      <left style="thin">
        <color rgb="FFB18726"/>
      </left>
      <right style="thin">
        <color rgb="FFB18726"/>
      </right>
      <top style="thin">
        <color rgb="FFB18726"/>
      </top>
      <bottom/>
      <diagonal/>
    </border>
    <border diagonalUp="false" diagonalDown="false">
      <left style="thin">
        <color rgb="FF5D603E"/>
      </left>
      <right style="thin">
        <color rgb="FF5D603E"/>
      </right>
      <top/>
      <bottom/>
      <diagonal/>
    </border>
    <border diagonalUp="false" diagonalDown="false">
      <left style="thin">
        <color rgb="FF5A7D20"/>
      </left>
      <right style="thin">
        <color rgb="FF5A7D20"/>
      </right>
      <top/>
      <bottom/>
      <diagonal/>
    </border>
    <border diagonalUp="false" diagonalDown="false">
      <left style="thin">
        <color rgb="FFB18726"/>
      </left>
      <right style="thin">
        <color rgb="FFB18726"/>
      </right>
      <top/>
      <bottom/>
      <diagonal/>
    </border>
    <border diagonalUp="false" diagonalDown="false">
      <left style="thin">
        <color rgb="FF5D603E"/>
      </left>
      <right style="thin">
        <color rgb="FF5D603E"/>
      </right>
      <top/>
      <bottom style="thin">
        <color rgb="FF5D603E"/>
      </bottom>
      <diagonal/>
    </border>
    <border diagonalUp="false" diagonalDown="false">
      <left style="thin">
        <color rgb="FF5A7D20"/>
      </left>
      <right style="thin">
        <color rgb="FF5A7D20"/>
      </right>
      <top/>
      <bottom style="thin">
        <color rgb="FF5A7D20"/>
      </bottom>
      <diagonal/>
    </border>
    <border diagonalUp="false" diagonalDown="false">
      <left style="thin">
        <color rgb="FFB18726"/>
      </left>
      <right style="thin">
        <color rgb="FFB18726"/>
      </right>
      <top/>
      <bottom style="thin">
        <color rgb="FFB18726"/>
      </bottom>
      <diagonal/>
    </border>
    <border diagonalUp="false" diagonalDown="false">
      <left style="thin">
        <color rgb="FF66401F"/>
      </left>
      <right style="thin">
        <color rgb="FF66401F"/>
      </right>
      <top style="thin">
        <color rgb="FF66401F"/>
      </top>
      <bottom/>
      <diagonal/>
    </border>
    <border diagonalUp="false" diagonalDown="false">
      <left style="thin">
        <color rgb="FF66401F"/>
      </left>
      <right style="thin">
        <color rgb="FF66401F"/>
      </right>
      <top/>
      <bottom/>
      <diagonal/>
    </border>
    <border diagonalUp="false" diagonalDown="false">
      <left style="thin">
        <color rgb="FF66401F"/>
      </left>
      <right style="thin">
        <color rgb="FF66401F"/>
      </right>
      <top/>
      <bottom style="thin">
        <color rgb="FF66401F"/>
      </bottom>
      <diagonal/>
    </border>
    <border diagonalUp="false" diagonalDown="false">
      <left/>
      <right/>
      <top/>
      <bottom style="thin">
        <color rgb="FF464930"/>
      </bottom>
      <diagonal/>
    </border>
    <border diagonalUp="false" diagonalDown="false">
      <left style="hair">
        <color rgb="FFDDE3C9"/>
      </left>
      <right style="hair">
        <color rgb="FFDDE3C9"/>
      </right>
      <top style="hair">
        <color rgb="FFDDE3C9"/>
      </top>
      <bottom style="hair">
        <color rgb="FFDDE3C9"/>
      </bottom>
      <diagonal/>
    </border>
    <border diagonalUp="false" diagonalDown="false">
      <left/>
      <right/>
      <top style="medium">
        <color rgb="FF5D603E"/>
      </top>
      <bottom/>
      <diagonal/>
    </border>
    <border diagonalUp="false" diagonalDown="false">
      <left/>
      <right style="hair">
        <color rgb="FFDDE3C9"/>
      </right>
      <top/>
      <bottom style="hair">
        <color rgb="FFDDE3C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bottom" textRotation="0" wrapText="false" indent="1"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false" indent="1" shrinkToFit="false"/>
      <protection locked="true" hidden="false"/>
    </xf>
    <xf numFmtId="164" fontId="6" fillId="2" borderId="0" xfId="0" applyFont="true" applyBorder="false" applyAlignment="true" applyProtection="false">
      <alignment horizontal="left" vertical="top" textRotation="0" wrapText="false" indent="1"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general" vertical="center"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10" fillId="0" borderId="2" xfId="0" applyFont="true" applyBorder="true" applyAlignment="true" applyProtection="false">
      <alignment horizontal="general" vertical="center" textRotation="0" wrapText="false" indent="0" shrinkToFit="false"/>
      <protection locked="true" hidden="false"/>
    </xf>
    <xf numFmtId="164" fontId="11" fillId="0" borderId="2" xfId="0" applyFont="true" applyBorder="tru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12" fillId="0" borderId="0" xfId="0" applyFont="true" applyBorder="true" applyAlignment="true" applyProtection="false">
      <alignment horizontal="general" vertical="center" textRotation="0" wrapText="false" indent="0" shrinkToFit="false"/>
      <protection locked="true" hidden="false"/>
    </xf>
    <xf numFmtId="164" fontId="12" fillId="0" borderId="0"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15" fillId="4" borderId="3" xfId="0" applyFont="true" applyBorder="true" applyAlignment="true" applyProtection="false">
      <alignment horizontal="center" vertical="center" textRotation="0" wrapText="true" indent="0" shrinkToFit="false"/>
      <protection locked="true" hidden="false"/>
    </xf>
    <xf numFmtId="164" fontId="15" fillId="5" borderId="4" xfId="0" applyFont="true" applyBorder="true" applyAlignment="true" applyProtection="false">
      <alignment horizontal="center" vertical="center" textRotation="0" wrapText="true" indent="0" shrinkToFit="false"/>
      <protection locked="true" hidden="false"/>
    </xf>
    <xf numFmtId="164" fontId="15" fillId="6" borderId="5" xfId="0" applyFont="true" applyBorder="true" applyAlignment="true" applyProtection="false">
      <alignment horizontal="center" vertical="center" textRotation="0" wrapText="true" indent="0" shrinkToFit="false"/>
      <protection locked="true" hidden="false"/>
    </xf>
    <xf numFmtId="165" fontId="16" fillId="7" borderId="6" xfId="0" applyFont="true" applyBorder="true" applyAlignment="true" applyProtection="false">
      <alignment horizontal="center" vertical="center" textRotation="0" wrapText="false" indent="0" shrinkToFit="false"/>
      <protection locked="true" hidden="false"/>
    </xf>
    <xf numFmtId="166" fontId="17" fillId="7" borderId="7" xfId="0" applyFont="true" applyBorder="true" applyAlignment="true" applyProtection="false">
      <alignment horizontal="center" vertical="center" textRotation="0" wrapText="false" indent="0" shrinkToFit="false"/>
      <protection locked="true" hidden="false"/>
    </xf>
    <xf numFmtId="167" fontId="17" fillId="7" borderId="7" xfId="0" applyFont="true" applyBorder="true" applyAlignment="true" applyProtection="false">
      <alignment horizontal="center" vertical="center" textRotation="0" wrapText="false" indent="0" shrinkToFit="false"/>
      <protection locked="true" hidden="false"/>
    </xf>
    <xf numFmtId="165" fontId="18" fillId="7" borderId="8" xfId="0" applyFont="true" applyBorder="true" applyAlignment="true" applyProtection="false">
      <alignment horizontal="center" vertical="center" textRotation="0" wrapText="false" indent="0" shrinkToFit="false"/>
      <protection locked="true" hidden="false"/>
    </xf>
    <xf numFmtId="164" fontId="19" fillId="7" borderId="9" xfId="0" applyFont="true" applyBorder="true" applyAlignment="true" applyProtection="false">
      <alignment horizontal="center" vertical="center" textRotation="0" wrapText="true" indent="0" shrinkToFit="false"/>
      <protection locked="true" hidden="false"/>
    </xf>
    <xf numFmtId="164" fontId="19" fillId="7" borderId="10" xfId="0" applyFont="true" applyBorder="true" applyAlignment="true" applyProtection="false">
      <alignment horizontal="center" vertical="center" textRotation="0" wrapText="true" indent="0" shrinkToFit="false"/>
      <protection locked="true" hidden="false"/>
    </xf>
    <xf numFmtId="164" fontId="19" fillId="7" borderId="11" xfId="0" applyFont="true" applyBorder="true" applyAlignment="true" applyProtection="false">
      <alignment horizontal="center" vertical="center" textRotation="0" wrapText="true" indent="0" shrinkToFit="false"/>
      <protection locked="true" hidden="false"/>
    </xf>
    <xf numFmtId="164" fontId="15" fillId="8" borderId="12" xfId="0" applyFont="true" applyBorder="true" applyAlignment="true" applyProtection="false">
      <alignment horizontal="center" vertical="center" textRotation="0" wrapText="true" indent="0" shrinkToFit="false"/>
      <protection locked="true" hidden="false"/>
    </xf>
    <xf numFmtId="166" fontId="18" fillId="7" borderId="8" xfId="0" applyFont="true" applyBorder="true" applyAlignment="true" applyProtection="false">
      <alignment horizontal="center" vertical="center" textRotation="0" wrapText="false" indent="0" shrinkToFit="false"/>
      <protection locked="true" hidden="false"/>
    </xf>
    <xf numFmtId="168" fontId="16" fillId="7" borderId="6" xfId="0" applyFont="true" applyBorder="true" applyAlignment="true" applyProtection="false">
      <alignment horizontal="center" vertical="center" textRotation="0" wrapText="false" indent="0" shrinkToFit="false"/>
      <protection locked="true" hidden="false"/>
    </xf>
    <xf numFmtId="169" fontId="20" fillId="7" borderId="13" xfId="0" applyFont="true" applyBorder="true" applyAlignment="true" applyProtection="false">
      <alignment horizontal="center" vertical="center" textRotation="0" wrapText="false" indent="0" shrinkToFit="false"/>
      <protection locked="true" hidden="false"/>
    </xf>
    <xf numFmtId="169" fontId="16" fillId="7" borderId="6" xfId="0" applyFont="true" applyBorder="true" applyAlignment="true" applyProtection="false">
      <alignment horizontal="center" vertical="center" textRotation="0" wrapText="false" indent="0" shrinkToFit="false"/>
      <protection locked="true" hidden="false"/>
    </xf>
    <xf numFmtId="164" fontId="19" fillId="7" borderId="14" xfId="0" applyFont="true" applyBorder="true" applyAlignment="true" applyProtection="false">
      <alignment horizontal="center" vertical="center" textRotation="0" wrapText="true" indent="0" shrinkToFit="false"/>
      <protection locked="true" hidden="false"/>
    </xf>
    <xf numFmtId="170" fontId="16" fillId="7" borderId="6" xfId="0" applyFont="true" applyBorder="true" applyAlignment="true" applyProtection="false">
      <alignment horizontal="center" vertical="center" textRotation="0" wrapText="false" indent="0" shrinkToFit="false"/>
      <protection locked="true" hidden="false"/>
    </xf>
    <xf numFmtId="167" fontId="20" fillId="7" borderId="13" xfId="0" applyFont="true" applyBorder="true" applyAlignment="true" applyProtection="false">
      <alignment horizontal="center" vertical="center" textRotation="0" wrapText="false" indent="0" shrinkToFit="false"/>
      <protection locked="true" hidden="false"/>
    </xf>
    <xf numFmtId="171" fontId="20" fillId="7" borderId="13" xfId="0" applyFont="true" applyBorder="true" applyAlignment="true" applyProtection="false">
      <alignment horizontal="center" vertical="center" textRotation="0" wrapText="false" indent="0" shrinkToFit="false"/>
      <protection locked="true" hidden="false"/>
    </xf>
    <xf numFmtId="166" fontId="20" fillId="7" borderId="13" xfId="0" applyFont="true" applyBorder="true" applyAlignment="true" applyProtection="false">
      <alignment horizontal="center" vertical="center" textRotation="0" wrapText="false" indent="0" shrinkToFit="false"/>
      <protection locked="true" hidden="false"/>
    </xf>
    <xf numFmtId="166" fontId="16" fillId="7" borderId="6" xfId="0" applyFont="true" applyBorder="true" applyAlignment="true" applyProtection="false">
      <alignment horizontal="center" vertical="center" textRotation="0" wrapText="false" indent="0" shrinkToFit="false"/>
      <protection locked="true" hidden="false"/>
    </xf>
    <xf numFmtId="165" fontId="17" fillId="7" borderId="7" xfId="0" applyFont="true" applyBorder="true" applyAlignment="true" applyProtection="false">
      <alignment horizontal="center" vertical="center" textRotation="0" wrapText="false" indent="0" shrinkToFit="false"/>
      <protection locked="true" hidden="false"/>
    </xf>
    <xf numFmtId="165" fontId="20" fillId="7" borderId="13" xfId="0" applyFont="true" applyBorder="true" applyAlignment="true" applyProtection="false">
      <alignment horizontal="center" vertical="center" textRotation="0" wrapText="false" indent="0" shrinkToFit="false"/>
      <protection locked="true" hidden="false"/>
    </xf>
    <xf numFmtId="164" fontId="21" fillId="4" borderId="15" xfId="0" applyFont="true" applyBorder="true" applyAlignment="true" applyProtection="false">
      <alignment horizontal="center" vertical="center" textRotation="0" wrapText="tru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22" fillId="0" borderId="2" xfId="0" applyFont="true" applyBorder="true" applyAlignment="true" applyProtection="false">
      <alignment horizontal="general" vertical="center" textRotation="0" wrapText="false" indent="0" shrinkToFit="false"/>
      <protection locked="true" hidden="false"/>
    </xf>
    <xf numFmtId="164" fontId="11" fillId="0" borderId="2" xfId="0" applyFont="true" applyBorder="true" applyAlignment="true" applyProtection="false">
      <alignment horizontal="center" vertical="center" textRotation="0" wrapText="false" indent="0" shrinkToFit="false"/>
      <protection locked="true" hidden="false"/>
    </xf>
    <xf numFmtId="164" fontId="13" fillId="0" borderId="2" xfId="0" applyFont="true" applyBorder="true" applyAlignment="true" applyProtection="false">
      <alignment horizontal="general" vertical="center" textRotation="0" wrapText="true" indent="0" shrinkToFit="false"/>
      <protection locked="true" hidden="false"/>
    </xf>
    <xf numFmtId="164" fontId="23"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general" vertical="center" textRotation="0" wrapText="false" indent="0" shrinkToFit="false"/>
      <protection locked="true" hidden="false"/>
    </xf>
    <xf numFmtId="164" fontId="26"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9" fontId="27" fillId="9" borderId="16" xfId="0" applyFont="true" applyBorder="true" applyAlignment="true" applyProtection="false">
      <alignment horizontal="right" vertical="center" textRotation="0" wrapText="false" indent="0" shrinkToFit="false"/>
      <protection locked="true" hidden="false"/>
    </xf>
    <xf numFmtId="165" fontId="27" fillId="9" borderId="16" xfId="0" applyFont="true" applyBorder="true" applyAlignment="true" applyProtection="false">
      <alignment horizontal="right" vertical="center" textRotation="0" wrapText="false" indent="0" shrinkToFit="false"/>
      <protection locked="true" hidden="false"/>
    </xf>
    <xf numFmtId="172" fontId="8" fillId="0"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5" fontId="28" fillId="0" borderId="0" xfId="0" applyFont="true" applyBorder="false" applyAlignment="true" applyProtection="false">
      <alignment horizontal="right" vertical="center" textRotation="0" wrapText="false" indent="0" shrinkToFit="false"/>
      <protection locked="true" hidden="false"/>
    </xf>
    <xf numFmtId="166" fontId="8" fillId="0" borderId="0" xfId="0" applyFont="true" applyBorder="false" applyAlignment="true" applyProtection="false">
      <alignment horizontal="right" vertical="center" textRotation="0" wrapText="false" indent="0" shrinkToFit="false"/>
      <protection locked="true" hidden="false"/>
    </xf>
    <xf numFmtId="167" fontId="8" fillId="0" borderId="0" xfId="0" applyFont="true" applyBorder="false" applyAlignment="true" applyProtection="false">
      <alignment horizontal="right" vertical="center" textRotation="0" wrapText="false" indent="0" shrinkToFit="false"/>
      <protection locked="true" hidden="false"/>
    </xf>
    <xf numFmtId="173" fontId="27" fillId="9" borderId="16" xfId="0" applyFont="true" applyBorder="true" applyAlignment="true" applyProtection="false">
      <alignment horizontal="right" vertical="center" textRotation="0" wrapText="false" indent="0" shrinkToFit="false"/>
      <protection locked="true" hidden="false"/>
    </xf>
    <xf numFmtId="165" fontId="11" fillId="0" borderId="0" xfId="0" applyFont="true" applyBorder="false" applyAlignment="true" applyProtection="false">
      <alignment horizontal="right" vertical="center" textRotation="0" wrapText="false" indent="0" shrinkToFit="false"/>
      <protection locked="true" hidden="false"/>
    </xf>
    <xf numFmtId="165" fontId="29" fillId="0" borderId="0" xfId="0" applyFont="true" applyBorder="false" applyAlignment="true" applyProtection="false">
      <alignment horizontal="right" vertical="center" textRotation="0" wrapText="false" indent="0" shrinkToFit="false"/>
      <protection locked="true" hidden="false"/>
    </xf>
    <xf numFmtId="165" fontId="8" fillId="0" borderId="0" xfId="0" applyFont="true" applyBorder="false" applyAlignment="true" applyProtection="false">
      <alignment horizontal="right" vertical="center" textRotation="0" wrapText="false" indent="0" shrinkToFit="false"/>
      <protection locked="true" hidden="false"/>
    </xf>
    <xf numFmtId="170" fontId="27" fillId="9" borderId="16" xfId="0" applyFont="true" applyBorder="true" applyAlignment="true" applyProtection="false">
      <alignment horizontal="right" vertical="center" textRotation="0" wrapText="false" indent="0" shrinkToFit="false"/>
      <protection locked="true" hidden="false"/>
    </xf>
    <xf numFmtId="174" fontId="27" fillId="9" borderId="16" xfId="0" applyFont="true" applyBorder="true" applyAlignment="true" applyProtection="false">
      <alignment horizontal="right" vertical="center" textRotation="0" wrapText="false" indent="0" shrinkToFit="false"/>
      <protection locked="true" hidden="false"/>
    </xf>
    <xf numFmtId="164" fontId="30" fillId="3" borderId="2" xfId="0" applyFont="true" applyBorder="true" applyAlignment="true" applyProtection="false">
      <alignment horizontal="left" vertical="center" textRotation="0" wrapText="false" indent="0" shrinkToFit="false"/>
      <protection locked="true" hidden="false"/>
    </xf>
    <xf numFmtId="164" fontId="11" fillId="3" borderId="2" xfId="0" applyFont="true" applyBorder="true" applyAlignment="true" applyProtection="false">
      <alignment horizontal="general" vertical="center" textRotation="0" wrapText="false" indent="0" shrinkToFit="false"/>
      <protection locked="true" hidden="false"/>
    </xf>
    <xf numFmtId="165" fontId="11" fillId="3" borderId="2" xfId="0" applyFont="true" applyBorder="true" applyAlignment="true" applyProtection="false">
      <alignment horizontal="right" vertical="center" textRotation="0" wrapText="false" indent="0" shrinkToFit="false"/>
      <protection locked="true" hidden="false"/>
    </xf>
    <xf numFmtId="175" fontId="13" fillId="3" borderId="2" xfId="0" applyFont="true" applyBorder="true" applyAlignment="true" applyProtection="false">
      <alignment horizontal="right" vertical="center" textRotation="0" wrapText="false" indent="0" shrinkToFit="false"/>
      <protection locked="true" hidden="false"/>
    </xf>
    <xf numFmtId="166" fontId="11" fillId="3" borderId="2" xfId="0" applyFont="true" applyBorder="true" applyAlignment="true" applyProtection="false">
      <alignment horizontal="right" vertical="center" textRotation="0" wrapText="false" indent="0" shrinkToFit="false"/>
      <protection locked="true" hidden="false"/>
    </xf>
    <xf numFmtId="167" fontId="13" fillId="3" borderId="2" xfId="0" applyFont="true" applyBorder="true" applyAlignment="true" applyProtection="false">
      <alignment horizontal="right" vertical="center" textRotation="0" wrapText="false" indent="0" shrinkToFit="false"/>
      <protection locked="true" hidden="false"/>
    </xf>
    <xf numFmtId="164" fontId="13" fillId="3" borderId="2"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4" fontId="9" fillId="7" borderId="2" xfId="0" applyFont="true" applyBorder="true" applyAlignment="true" applyProtection="false">
      <alignment horizontal="left" vertical="center" textRotation="0" wrapText="false" indent="0" shrinkToFit="false"/>
      <protection locked="true" hidden="false"/>
    </xf>
    <xf numFmtId="164" fontId="22" fillId="7" borderId="2" xfId="0" applyFont="true" applyBorder="true" applyAlignment="true" applyProtection="false">
      <alignment horizontal="general" vertical="center" textRotation="0" wrapText="false" indent="2" shrinkToFit="false"/>
      <protection locked="true" hidden="false"/>
    </xf>
    <xf numFmtId="165" fontId="11" fillId="7" borderId="2" xfId="0" applyFont="true" applyBorder="true" applyAlignment="true" applyProtection="false">
      <alignment horizontal="right" vertical="center" textRotation="0" wrapText="false" indent="0" shrinkToFit="false"/>
      <protection locked="true" hidden="false"/>
    </xf>
    <xf numFmtId="175" fontId="13" fillId="7" borderId="2" xfId="0" applyFont="true" applyBorder="true" applyAlignment="true" applyProtection="false">
      <alignment horizontal="right" vertical="center" textRotation="0" wrapText="false" indent="0" shrinkToFit="false"/>
      <protection locked="true" hidden="false"/>
    </xf>
    <xf numFmtId="166" fontId="22" fillId="7" borderId="2" xfId="0" applyFont="true" applyBorder="true" applyAlignment="true" applyProtection="false">
      <alignment horizontal="right" vertical="center" textRotation="0" wrapText="false" indent="0" shrinkToFit="false"/>
      <protection locked="true" hidden="false"/>
    </xf>
    <xf numFmtId="167" fontId="13" fillId="7" borderId="2" xfId="0" applyFont="true" applyBorder="true" applyAlignment="true" applyProtection="false">
      <alignment horizontal="right" vertical="center" textRotation="0" wrapText="false" indent="0" shrinkToFit="false"/>
      <protection locked="true" hidden="false"/>
    </xf>
    <xf numFmtId="164" fontId="13" fillId="7" borderId="2" xfId="0" applyFont="true" applyBorder="true" applyAlignment="true" applyProtection="false">
      <alignment horizontal="left" vertical="center" textRotation="0" wrapText="false" indent="0" shrinkToFit="false"/>
      <protection locked="true" hidden="false"/>
    </xf>
    <xf numFmtId="164" fontId="12" fillId="0" borderId="2" xfId="0" applyFont="true" applyBorder="true" applyAlignment="true" applyProtection="false">
      <alignment horizontal="left" vertical="center" textRotation="0" wrapText="false" indent="0" shrinkToFit="false"/>
      <protection locked="true" hidden="false"/>
    </xf>
    <xf numFmtId="164" fontId="31" fillId="0" borderId="2" xfId="0" applyFont="true" applyBorder="true" applyAlignment="true" applyProtection="false">
      <alignment horizontal="general" vertical="center" textRotation="0" wrapText="false" indent="4" shrinkToFit="false"/>
      <protection locked="true" hidden="false"/>
    </xf>
    <xf numFmtId="165" fontId="31" fillId="0" borderId="2" xfId="0" applyFont="true" applyBorder="true" applyAlignment="true" applyProtection="false">
      <alignment horizontal="right" vertical="center" textRotation="0" wrapText="false" indent="0" shrinkToFit="false"/>
      <protection locked="true" hidden="false"/>
    </xf>
    <xf numFmtId="175" fontId="13" fillId="0" borderId="2" xfId="0" applyFont="true" applyBorder="true" applyAlignment="true" applyProtection="false">
      <alignment horizontal="right" vertical="center" textRotation="0" wrapText="false" indent="0" shrinkToFit="false"/>
      <protection locked="true" hidden="false"/>
    </xf>
    <xf numFmtId="166" fontId="31" fillId="0" borderId="2" xfId="0" applyFont="true" applyBorder="true" applyAlignment="true" applyProtection="false">
      <alignment horizontal="right" vertical="center" textRotation="0" wrapText="false" indent="0" shrinkToFit="false"/>
      <protection locked="true" hidden="false"/>
    </xf>
    <xf numFmtId="167" fontId="13" fillId="0" borderId="2" xfId="0" applyFont="true" applyBorder="true" applyAlignment="true" applyProtection="false">
      <alignment horizontal="right" vertical="center" textRotation="0" wrapText="false" indent="0" shrinkToFit="false"/>
      <protection locked="true" hidden="false"/>
    </xf>
    <xf numFmtId="164" fontId="13" fillId="0" borderId="2" xfId="0" applyFont="true" applyBorder="true" applyAlignment="true" applyProtection="false">
      <alignment horizontal="left" vertical="center" textRotation="0" wrapText="false" indent="0" shrinkToFit="false"/>
      <protection locked="true" hidden="false"/>
    </xf>
    <xf numFmtId="165" fontId="22" fillId="7" borderId="2" xfId="0" applyFont="true" applyBorder="true" applyAlignment="true" applyProtection="false">
      <alignment horizontal="right" vertical="center" textRotation="0" wrapText="false" indent="0" shrinkToFit="false"/>
      <protection locked="true" hidden="false"/>
    </xf>
    <xf numFmtId="164" fontId="32" fillId="7" borderId="2" xfId="0" applyFont="true" applyBorder="true" applyAlignment="true" applyProtection="false">
      <alignment horizontal="left" vertical="center" textRotation="0" wrapText="false" indent="0" shrinkToFit="false"/>
      <protection locked="true" hidden="false"/>
    </xf>
    <xf numFmtId="164" fontId="32" fillId="0" borderId="2" xfId="0" applyFont="true" applyBorder="true" applyAlignment="true" applyProtection="false">
      <alignment horizontal="left" vertical="center" textRotation="0" wrapText="false" indent="0" shrinkToFit="false"/>
      <protection locked="true" hidden="false"/>
    </xf>
    <xf numFmtId="165" fontId="8" fillId="0" borderId="2" xfId="0" applyFont="true" applyBorder="true" applyAlignment="true" applyProtection="false">
      <alignment horizontal="right" vertical="center" textRotation="0" wrapText="false" indent="0" shrinkToFit="false"/>
      <protection locked="true" hidden="false"/>
    </xf>
    <xf numFmtId="164" fontId="31" fillId="0" borderId="2" xfId="0" applyFont="true" applyBorder="true" applyAlignment="true" applyProtection="false">
      <alignment horizontal="general" vertical="center" textRotation="0" wrapText="false" indent="6" shrinkToFit="false"/>
      <protection locked="true" hidden="false"/>
    </xf>
    <xf numFmtId="164" fontId="33" fillId="7" borderId="2" xfId="0" applyFont="true" applyBorder="true" applyAlignment="true" applyProtection="false">
      <alignment horizontal="left" vertical="center" textRotation="0" wrapText="false" indent="0" shrinkToFit="false"/>
      <protection locked="true" hidden="false"/>
    </xf>
    <xf numFmtId="164" fontId="33" fillId="0" borderId="2" xfId="0" applyFont="true" applyBorder="true" applyAlignment="true" applyProtection="false">
      <alignment horizontal="left" vertical="center" textRotation="0" wrapText="false" indent="0" shrinkToFit="false"/>
      <protection locked="true" hidden="false"/>
    </xf>
    <xf numFmtId="164" fontId="34" fillId="2" borderId="17" xfId="0" applyFont="true" applyBorder="true" applyAlignment="true" applyProtection="false">
      <alignment horizontal="left" vertical="center" textRotation="0" wrapText="false" indent="0" shrinkToFit="false"/>
      <protection locked="true" hidden="false"/>
    </xf>
    <xf numFmtId="164" fontId="34" fillId="2" borderId="17" xfId="0" applyFont="true" applyBorder="true" applyAlignment="true" applyProtection="false">
      <alignment horizontal="general" vertical="center" textRotation="0" wrapText="false" indent="0" shrinkToFit="false"/>
      <protection locked="true" hidden="false"/>
    </xf>
    <xf numFmtId="165" fontId="34" fillId="2" borderId="17" xfId="0" applyFont="true" applyBorder="true" applyAlignment="true" applyProtection="false">
      <alignment horizontal="right" vertical="center" textRotation="0" wrapText="false" indent="0" shrinkToFit="false"/>
      <protection locked="true" hidden="false"/>
    </xf>
    <xf numFmtId="169" fontId="21" fillId="2" borderId="17" xfId="0" applyFont="true" applyBorder="true" applyAlignment="true" applyProtection="false">
      <alignment horizontal="right" vertical="center" textRotation="0" wrapText="false" indent="0" shrinkToFit="false"/>
      <protection locked="true" hidden="false"/>
    </xf>
    <xf numFmtId="166" fontId="34" fillId="2" borderId="17" xfId="0" applyFont="true" applyBorder="true" applyAlignment="true" applyProtection="false">
      <alignment horizontal="right" vertical="center" textRotation="0" wrapText="false" indent="0" shrinkToFit="false"/>
      <protection locked="true" hidden="false"/>
    </xf>
    <xf numFmtId="167" fontId="21" fillId="2" borderId="17" xfId="0" applyFont="true" applyBorder="true" applyAlignment="true" applyProtection="false">
      <alignment horizontal="right" vertical="center" textRotation="0" wrapText="false" indent="0" shrinkToFit="false"/>
      <protection locked="true" hidden="false"/>
    </xf>
    <xf numFmtId="164" fontId="0" fillId="2" borderId="17" xfId="0" applyFont="fals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5" fontId="12" fillId="0" borderId="0" xfId="0" applyFont="true" applyBorder="false" applyAlignment="true" applyProtection="false">
      <alignment horizontal="right" vertical="center" textRotation="0" wrapText="false" indent="0" shrinkToFit="false"/>
      <protection locked="true" hidden="false"/>
    </xf>
    <xf numFmtId="164" fontId="35" fillId="0" borderId="0" xfId="0" applyFont="true" applyBorder="false" applyAlignment="true" applyProtection="false">
      <alignment horizontal="left" vertical="center" textRotation="0" wrapText="false" indent="0" shrinkToFit="false"/>
      <protection locked="true" hidden="false"/>
    </xf>
    <xf numFmtId="164" fontId="30" fillId="0" borderId="2" xfId="0" applyFont="true" applyBorder="true" applyAlignment="true" applyProtection="false">
      <alignment horizontal="left" vertical="center" textRotation="0" wrapText="false" indent="0" shrinkToFit="false"/>
      <protection locked="true" hidden="false"/>
    </xf>
    <xf numFmtId="165" fontId="28" fillId="0" borderId="2" xfId="0" applyFont="true" applyBorder="true" applyAlignment="true" applyProtection="false">
      <alignment horizontal="right" vertical="center" textRotation="0" wrapText="false" indent="0" shrinkToFit="false"/>
      <protection locked="true" hidden="false"/>
    </xf>
    <xf numFmtId="169" fontId="12" fillId="0" borderId="2" xfId="0" applyFont="true" applyBorder="true" applyAlignment="true" applyProtection="false">
      <alignment horizontal="right" vertical="center" textRotation="0" wrapText="false" indent="0" shrinkToFit="false"/>
      <protection locked="true" hidden="false"/>
    </xf>
    <xf numFmtId="166" fontId="11" fillId="0" borderId="2" xfId="0" applyFont="true" applyBorder="true" applyAlignment="true" applyProtection="false">
      <alignment horizontal="right" vertical="center" textRotation="0" wrapText="false" indent="0" shrinkToFit="false"/>
      <protection locked="true" hidden="false"/>
    </xf>
    <xf numFmtId="167" fontId="12" fillId="0" borderId="2" xfId="0" applyFont="true" applyBorder="true" applyAlignment="true" applyProtection="false">
      <alignment horizontal="right" vertical="center" textRotation="0" wrapText="false" indent="0" shrinkToFit="false"/>
      <protection locked="true" hidden="false"/>
    </xf>
    <xf numFmtId="164" fontId="13" fillId="0" borderId="2" xfId="0" applyFont="true" applyBorder="true" applyAlignment="true" applyProtection="false">
      <alignment horizontal="general" vertical="center" textRotation="0" wrapText="false" indent="0" shrinkToFit="false"/>
      <protection locked="true" hidden="false"/>
    </xf>
    <xf numFmtId="165" fontId="36" fillId="2" borderId="17" xfId="0" applyFont="true" applyBorder="true" applyAlignment="true" applyProtection="false">
      <alignment horizontal="right" vertical="center" textRotation="0" wrapText="false" indent="0" shrinkToFit="false"/>
      <protection locked="true" hidden="false"/>
    </xf>
    <xf numFmtId="164" fontId="30" fillId="0" borderId="0" xfId="0" applyFont="true" applyBorder="false" applyAlignment="true" applyProtection="false">
      <alignment horizontal="general" vertical="center" textRotation="0" wrapText="false" indent="0" shrinkToFit="false"/>
      <protection locked="true" hidden="false"/>
    </xf>
    <xf numFmtId="166" fontId="11" fillId="0" borderId="0" xfId="0" applyFont="true" applyBorder="false" applyAlignment="true" applyProtection="false">
      <alignment horizontal="right" vertical="center" textRotation="0" wrapText="false" indent="0" shrinkToFit="false"/>
      <protection locked="true" hidden="false"/>
    </xf>
    <xf numFmtId="167" fontId="12" fillId="0" borderId="0" xfId="0" applyFont="true" applyBorder="false" applyAlignment="true" applyProtection="false">
      <alignment horizontal="right" vertical="center" textRotation="0" wrapText="false" indent="0" shrinkToFit="false"/>
      <protection locked="true" hidden="false"/>
    </xf>
    <xf numFmtId="168" fontId="11" fillId="0" borderId="0" xfId="0" applyFont="true" applyBorder="false" applyAlignment="true" applyProtection="false">
      <alignment horizontal="right" vertical="center" textRotation="0" wrapText="false" indent="0" shrinkToFit="false"/>
      <protection locked="true" hidden="false"/>
    </xf>
    <xf numFmtId="164" fontId="31" fillId="0" borderId="2" xfId="0" applyFont="true" applyBorder="true" applyAlignment="true" applyProtection="false">
      <alignment horizontal="general" vertical="center" textRotation="0" wrapText="false" indent="0" shrinkToFit="false"/>
      <protection locked="true" hidden="false"/>
    </xf>
    <xf numFmtId="165" fontId="29" fillId="0" borderId="2" xfId="0" applyFont="true" applyBorder="true" applyAlignment="true" applyProtection="false">
      <alignment horizontal="right" vertical="center" textRotation="0" wrapText="false" indent="0" shrinkToFit="false"/>
      <protection locked="true" hidden="false"/>
    </xf>
    <xf numFmtId="169" fontId="13" fillId="0" borderId="2" xfId="0" applyFont="true" applyBorder="true" applyAlignment="true" applyProtection="false">
      <alignment horizontal="right" vertical="center" textRotation="0" wrapText="false" indent="0" shrinkToFit="false"/>
      <protection locked="true" hidden="false"/>
    </xf>
    <xf numFmtId="166" fontId="8" fillId="0" borderId="2" xfId="0" applyFont="true" applyBorder="true" applyAlignment="true" applyProtection="false">
      <alignment horizontal="right" vertical="center" textRotation="0" wrapText="false" indent="0" shrinkToFit="false"/>
      <protection locked="true" hidden="false"/>
    </xf>
    <xf numFmtId="164" fontId="32" fillId="0" borderId="2" xfId="0" applyFont="true" applyBorder="true" applyAlignment="true" applyProtection="false">
      <alignment horizontal="general" vertical="center" textRotation="0" wrapText="false" indent="0" shrinkToFit="false"/>
      <protection locked="true" hidden="false"/>
    </xf>
    <xf numFmtId="164" fontId="33" fillId="0" borderId="2" xfId="0" applyFont="true" applyBorder="true" applyAlignment="true" applyProtection="false">
      <alignment horizontal="general" vertical="center" textRotation="0" wrapText="false" indent="0" shrinkToFit="false"/>
      <protection locked="true" hidden="false"/>
    </xf>
    <xf numFmtId="164" fontId="36" fillId="4" borderId="0" xfId="0" applyFont="true" applyBorder="false" applyAlignment="true" applyProtection="false">
      <alignment horizontal="left" vertical="center" textRotation="0" wrapText="false" indent="0" shrinkToFit="false"/>
      <protection locked="true" hidden="false"/>
    </xf>
    <xf numFmtId="164" fontId="36" fillId="4" borderId="0" xfId="0" applyFont="true" applyBorder="false" applyAlignment="true" applyProtection="false">
      <alignment horizontal="general" vertical="center" textRotation="0" wrapText="false" indent="0" shrinkToFit="false"/>
      <protection locked="true" hidden="false"/>
    </xf>
    <xf numFmtId="165" fontId="36" fillId="4" borderId="0" xfId="0" applyFont="true" applyBorder="false" applyAlignment="true" applyProtection="false">
      <alignment horizontal="right" vertical="center" textRotation="0" wrapText="false" indent="0" shrinkToFit="false"/>
      <protection locked="true" hidden="false"/>
    </xf>
    <xf numFmtId="169" fontId="21" fillId="4" borderId="0" xfId="0" applyFont="true" applyBorder="false" applyAlignment="true" applyProtection="false">
      <alignment horizontal="right" vertical="center" textRotation="0" wrapText="false" indent="0" shrinkToFit="false"/>
      <protection locked="true" hidden="false"/>
    </xf>
    <xf numFmtId="166" fontId="36" fillId="4" borderId="0" xfId="0" applyFont="true" applyBorder="false" applyAlignment="true" applyProtection="false">
      <alignment horizontal="right" vertical="center" textRotation="0" wrapText="false" indent="0" shrinkToFit="false"/>
      <protection locked="true" hidden="false"/>
    </xf>
    <xf numFmtId="167" fontId="21" fillId="4" borderId="0" xfId="0" applyFont="true" applyBorder="false" applyAlignment="true" applyProtection="false">
      <alignment horizontal="right" vertical="center"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22" fillId="3" borderId="2" xfId="0" applyFont="true" applyBorder="true" applyAlignment="true" applyProtection="false">
      <alignment horizontal="general" vertical="center" textRotation="0" wrapText="false" indent="0" shrinkToFit="false"/>
      <protection locked="true" hidden="false"/>
    </xf>
    <xf numFmtId="165" fontId="12" fillId="3" borderId="2" xfId="0" applyFont="true" applyBorder="true" applyAlignment="true" applyProtection="false">
      <alignment horizontal="right" vertical="center" textRotation="0" wrapText="false" indent="0" shrinkToFit="false"/>
      <protection locked="true" hidden="false"/>
    </xf>
    <xf numFmtId="165" fontId="39" fillId="0" borderId="2" xfId="0" applyFont="true" applyBorder="true" applyAlignment="true" applyProtection="false">
      <alignment horizontal="right" vertical="center" textRotation="0" wrapText="false" indent="0" shrinkToFit="false"/>
      <protection locked="true" hidden="false"/>
    </xf>
    <xf numFmtId="165" fontId="12" fillId="0" borderId="2" xfId="0" applyFont="true" applyBorder="true" applyAlignment="true" applyProtection="false">
      <alignment horizontal="right" vertical="center" textRotation="0" wrapText="false" indent="0" shrinkToFit="false"/>
      <protection locked="true" hidden="false"/>
    </xf>
    <xf numFmtId="167" fontId="40" fillId="0" borderId="0" xfId="0" applyFont="true" applyBorder="false" applyAlignment="true" applyProtection="false">
      <alignment horizontal="right" vertical="center" textRotation="0" wrapText="false" indent="0" shrinkToFit="false"/>
      <protection locked="true" hidden="false"/>
    </xf>
    <xf numFmtId="164" fontId="41" fillId="0" borderId="0" xfId="0" applyFont="true" applyBorder="false" applyAlignment="true" applyProtection="false">
      <alignment horizontal="center" vertical="center" textRotation="0" wrapText="false" indent="0" shrinkToFit="false"/>
      <protection locked="true" hidden="false"/>
    </xf>
    <xf numFmtId="164" fontId="42" fillId="0" borderId="2" xfId="0" applyFont="true" applyBorder="true" applyAlignment="true" applyProtection="false">
      <alignment horizontal="center" vertical="center" textRotation="0" wrapText="false" indent="0" shrinkToFit="false"/>
      <protection locked="true" hidden="false"/>
    </xf>
    <xf numFmtId="164" fontId="13" fillId="0" borderId="2" xfId="0" applyFont="true" applyBorder="true" applyAlignment="true" applyProtection="false">
      <alignment horizontal="center" vertical="center" textRotation="0" wrapText="false" indent="0" shrinkToFit="false"/>
      <protection locked="true" hidden="false"/>
    </xf>
    <xf numFmtId="165" fontId="11" fillId="0" borderId="2" xfId="0" applyFont="true" applyBorder="true" applyAlignment="true" applyProtection="false">
      <alignment horizontal="right" vertical="center" textRotation="0" wrapText="false" indent="0" shrinkToFit="false"/>
      <protection locked="true" hidden="false"/>
    </xf>
    <xf numFmtId="165" fontId="27" fillId="9" borderId="2" xfId="0" applyFont="true" applyBorder="true" applyAlignment="true" applyProtection="false">
      <alignment horizontal="right" vertical="center" textRotation="0" wrapText="false" indent="0" shrinkToFit="false"/>
      <protection locked="true" hidden="false"/>
    </xf>
    <xf numFmtId="164" fontId="22" fillId="0" borderId="2" xfId="0" applyFont="true" applyBorder="true" applyAlignment="true" applyProtection="false">
      <alignment horizontal="center" vertical="center" textRotation="0" wrapText="false" indent="0" shrinkToFit="false"/>
      <protection locked="true" hidden="false"/>
    </xf>
    <xf numFmtId="168" fontId="11" fillId="0" borderId="2" xfId="0" applyFont="true" applyBorder="true" applyAlignment="true" applyProtection="false">
      <alignment horizontal="right" vertical="center" textRotation="0" wrapText="false" indent="0" shrinkToFit="false"/>
      <protection locked="true" hidden="false"/>
    </xf>
    <xf numFmtId="168" fontId="8" fillId="0" borderId="2" xfId="0" applyFont="true" applyBorder="true" applyAlignment="true" applyProtection="false">
      <alignment horizontal="right" vertical="center" textRotation="0" wrapText="false" indent="0" shrinkToFit="false"/>
      <protection locked="true" hidden="false"/>
    </xf>
    <xf numFmtId="168" fontId="27" fillId="9" borderId="2" xfId="0" applyFont="true" applyBorder="true" applyAlignment="true" applyProtection="false">
      <alignment horizontal="right" vertical="center" textRotation="0" wrapText="false" indent="0" shrinkToFit="false"/>
      <protection locked="true" hidden="false"/>
    </xf>
    <xf numFmtId="169" fontId="11" fillId="0" borderId="2" xfId="0" applyFont="true" applyBorder="true" applyAlignment="true" applyProtection="false">
      <alignment horizontal="right" vertical="center" textRotation="0" wrapText="false" indent="0" shrinkToFit="false"/>
      <protection locked="true" hidden="false"/>
    </xf>
    <xf numFmtId="169" fontId="8" fillId="0" borderId="2" xfId="0" applyFont="true" applyBorder="true" applyAlignment="true" applyProtection="false">
      <alignment horizontal="right" vertical="center" textRotation="0" wrapText="false" indent="0" shrinkToFit="false"/>
      <protection locked="true" hidden="false"/>
    </xf>
    <xf numFmtId="169" fontId="27" fillId="9" borderId="2" xfId="0" applyFont="true" applyBorder="true" applyAlignment="true" applyProtection="false">
      <alignment horizontal="right" vertical="center" textRotation="0" wrapText="false" indent="0" shrinkToFit="false"/>
      <protection locked="true" hidden="false"/>
    </xf>
    <xf numFmtId="164" fontId="9" fillId="0" borderId="2" xfId="0" applyFont="true" applyBorder="true" applyAlignment="true" applyProtection="false">
      <alignment horizontal="general" vertical="center" textRotation="0" wrapText="false" indent="0" shrinkToFit="false"/>
      <protection locked="true" hidden="false"/>
    </xf>
    <xf numFmtId="164" fontId="31" fillId="0" borderId="0" xfId="0" applyFont="true" applyBorder="false" applyAlignment="true" applyProtection="false">
      <alignment horizontal="general" vertical="center" textRotation="0" wrapText="false" indent="0" shrinkToFit="false"/>
      <protection locked="true" hidden="false"/>
    </xf>
    <xf numFmtId="164" fontId="43" fillId="0" borderId="0" xfId="0" applyFont="true" applyBorder="false" applyAlignment="true" applyProtection="false">
      <alignment horizontal="left" vertical="center" textRotation="0" wrapText="false" indent="0" shrinkToFit="false"/>
      <protection locked="true" hidden="false"/>
    </xf>
    <xf numFmtId="172" fontId="8" fillId="0" borderId="2" xfId="0" applyFont="true" applyBorder="true" applyAlignment="true" applyProtection="false">
      <alignment horizontal="right" vertical="center" textRotation="0" wrapText="false" indent="0" shrinkToFit="false"/>
      <protection locked="true" hidden="false"/>
    </xf>
    <xf numFmtId="168" fontId="8" fillId="0" borderId="0" xfId="0" applyFont="true" applyBorder="false" applyAlignment="true" applyProtection="false">
      <alignment horizontal="right" vertical="center" textRotation="0" wrapText="false" indent="0" shrinkToFit="false"/>
      <protection locked="true" hidden="false"/>
    </xf>
    <xf numFmtId="176" fontId="29" fillId="0" borderId="2" xfId="0" applyFont="true" applyBorder="true" applyAlignment="true" applyProtection="false">
      <alignment horizontal="right" vertical="center" textRotation="0" wrapText="false" indent="0" shrinkToFit="false"/>
      <protection locked="true" hidden="false"/>
    </xf>
    <xf numFmtId="174" fontId="29" fillId="0" borderId="2" xfId="0" applyFont="true" applyBorder="true" applyAlignment="true" applyProtection="false">
      <alignment horizontal="right" vertical="center" textRotation="0" wrapText="false" indent="0" shrinkToFit="false"/>
      <protection locked="true" hidden="false"/>
    </xf>
    <xf numFmtId="177" fontId="8" fillId="0" borderId="2" xfId="0" applyFont="true" applyBorder="true" applyAlignment="true" applyProtection="false">
      <alignment horizontal="right" vertical="center" textRotation="0" wrapText="false" indent="0" shrinkToFit="false"/>
      <protection locked="true" hidden="false"/>
    </xf>
    <xf numFmtId="165" fontId="34" fillId="4" borderId="0" xfId="0" applyFont="true" applyBorder="false" applyAlignment="true" applyProtection="false">
      <alignment horizontal="right" vertical="center" textRotation="0" wrapText="false" indent="0" shrinkToFit="false"/>
      <protection locked="true" hidden="false"/>
    </xf>
    <xf numFmtId="176" fontId="8" fillId="0" borderId="0" xfId="0" applyFont="true" applyBorder="false" applyAlignment="true" applyProtection="false">
      <alignment horizontal="right" vertical="center" textRotation="0" wrapText="false" indent="0" shrinkToFit="false"/>
      <protection locked="true" hidden="false"/>
    </xf>
    <xf numFmtId="164" fontId="13" fillId="0" borderId="0" xfId="0" applyFont="true" applyBorder="false" applyAlignment="true" applyProtection="false">
      <alignment horizontal="right" vertical="center" textRotation="0" wrapText="false" indent="0" shrinkToFit="false"/>
      <protection locked="true" hidden="false"/>
    </xf>
    <xf numFmtId="170" fontId="8" fillId="0" borderId="2" xfId="0" applyFont="true" applyBorder="true" applyAlignment="true" applyProtection="false">
      <alignment horizontal="right" vertical="center" textRotation="0" wrapText="false" indent="0" shrinkToFit="false"/>
      <protection locked="true" hidden="false"/>
    </xf>
    <xf numFmtId="170" fontId="11" fillId="0" borderId="2" xfId="0" applyFont="true" applyBorder="true" applyAlignment="true" applyProtection="false">
      <alignment horizontal="right" vertical="center" textRotation="0" wrapText="false" indent="0" shrinkToFit="false"/>
      <protection locked="true" hidden="false"/>
    </xf>
    <xf numFmtId="170" fontId="29" fillId="0" borderId="2" xfId="0" applyFont="true" applyBorder="true" applyAlignment="true" applyProtection="false">
      <alignment horizontal="right" vertical="center" textRotation="0" wrapText="false" indent="0" shrinkToFit="false"/>
      <protection locked="true" hidden="false"/>
    </xf>
    <xf numFmtId="167" fontId="11" fillId="0" borderId="2" xfId="0" applyFont="true" applyBorder="true" applyAlignment="true" applyProtection="false">
      <alignment horizontal="right" vertical="center" textRotation="0" wrapText="false" indent="0" shrinkToFit="false"/>
      <protection locked="true" hidden="false"/>
    </xf>
    <xf numFmtId="167" fontId="8" fillId="0" borderId="2" xfId="0" applyFont="true" applyBorder="true" applyAlignment="true" applyProtection="false">
      <alignment horizontal="right" vertical="center" textRotation="0" wrapText="false" indent="0" shrinkToFit="false"/>
      <protection locked="true" hidden="false"/>
    </xf>
    <xf numFmtId="171" fontId="8" fillId="0" borderId="2" xfId="0" applyFont="true" applyBorder="true" applyAlignment="true" applyProtection="false">
      <alignment horizontal="right" vertical="center" textRotation="0" wrapText="false" indent="0" shrinkToFit="false"/>
      <protection locked="true" hidden="false"/>
    </xf>
    <xf numFmtId="164" fontId="15" fillId="4" borderId="0" xfId="0" applyFont="true" applyBorder="false" applyAlignment="true" applyProtection="false">
      <alignment horizontal="center" vertical="center" textRotation="0" wrapText="true" indent="0" shrinkToFit="false"/>
      <protection locked="true" hidden="false"/>
    </xf>
    <xf numFmtId="178" fontId="21" fillId="4" borderId="0" xfId="0" applyFont="true" applyBorder="false" applyAlignment="true" applyProtection="false">
      <alignment horizontal="center" vertical="center" textRotation="0" wrapText="false" indent="0" shrinkToFit="false"/>
      <protection locked="true" hidden="false"/>
    </xf>
    <xf numFmtId="170" fontId="21" fillId="4" borderId="0" xfId="0" applyFont="true" applyBorder="false" applyAlignment="true" applyProtection="false">
      <alignment horizontal="center" vertical="center" textRotation="0" wrapText="false" indent="0" shrinkToFit="false"/>
      <protection locked="true" hidden="false"/>
    </xf>
    <xf numFmtId="166" fontId="31" fillId="0" borderId="18" xfId="0" applyFont="true" applyBorder="true" applyAlignment="true" applyProtection="false">
      <alignment horizontal="right" vertical="center" textRotation="0" wrapText="false" indent="0" shrinkToFit="false"/>
      <protection locked="true" hidden="false"/>
    </xf>
    <xf numFmtId="164" fontId="44" fillId="0" borderId="0" xfId="0" applyFont="true" applyBorder="false" applyAlignment="true" applyProtection="false">
      <alignment horizontal="general" vertical="center" textRotation="0" wrapText="false" indent="0" shrinkToFit="false"/>
      <protection locked="true" hidden="false"/>
    </xf>
    <xf numFmtId="164" fontId="13" fillId="0" borderId="0" xfId="0" applyFont="true" applyBorder="true" applyAlignment="true" applyProtection="false">
      <alignment horizontal="general" vertical="center" textRotation="0" wrapText="false" indent="0" shrinkToFit="false"/>
      <protection locked="true" hidden="false"/>
    </xf>
    <xf numFmtId="167" fontId="31" fillId="0" borderId="18" xfId="0" applyFont="true" applyBorder="true" applyAlignment="true" applyProtection="false">
      <alignment horizontal="right" vertical="center" textRotation="0" wrapText="false" indent="0" shrinkToFit="false"/>
      <protection locked="true" hidden="false"/>
    </xf>
    <xf numFmtId="170" fontId="31" fillId="0" borderId="18" xfId="0" applyFont="true" applyBorder="true" applyAlignment="true" applyProtection="false">
      <alignment horizontal="right" vertical="center" textRotation="0" wrapText="false" indent="0" shrinkToFit="false"/>
      <protection locked="true" hidden="false"/>
    </xf>
    <xf numFmtId="178" fontId="27" fillId="9" borderId="2" xfId="0" applyFont="true" applyBorder="true" applyAlignment="true" applyProtection="false">
      <alignment horizontal="right" vertical="center" textRotation="0" wrapText="false" indent="0" shrinkToFit="false"/>
      <protection locked="true" hidden="false"/>
    </xf>
    <xf numFmtId="170" fontId="27" fillId="9" borderId="2" xfId="0" applyFont="true" applyBorder="true" applyAlignment="true" applyProtection="false">
      <alignment horizontal="right" vertical="center" textRotation="0" wrapText="false" indent="0" shrinkToFit="false"/>
      <protection locked="true" hidden="false"/>
    </xf>
    <xf numFmtId="164" fontId="25" fillId="0" borderId="2" xfId="0" applyFont="true" applyBorder="true" applyAlignment="true" applyProtection="false">
      <alignment horizontal="general" vertical="center" textRotation="0" wrapText="true" indent="0" shrinkToFit="false"/>
      <protection locked="true" hidden="false"/>
    </xf>
    <xf numFmtId="173" fontId="27" fillId="9" borderId="2" xfId="0" applyFont="true" applyBorder="true" applyAlignment="true" applyProtection="false">
      <alignment horizontal="right" vertical="center" textRotation="0" wrapText="false" indent="0" shrinkToFit="false"/>
      <protection locked="true" hidden="false"/>
    </xf>
    <xf numFmtId="164" fontId="21" fillId="2" borderId="0" xfId="0" applyFont="true" applyBorder="false" applyAlignment="true" applyProtection="false">
      <alignment horizontal="general" vertical="center" textRotation="0" wrapText="false" indent="0" shrinkToFit="false"/>
      <protection locked="true" hidden="false"/>
    </xf>
    <xf numFmtId="165" fontId="36" fillId="2" borderId="0" xfId="0" applyFont="true" applyBorder="false" applyAlignment="true" applyProtection="false">
      <alignment horizontal="right" vertical="center" textRotation="0" wrapText="false" indent="0" shrinkToFit="false"/>
      <protection locked="true" hidden="false"/>
    </xf>
    <xf numFmtId="164" fontId="35" fillId="0" borderId="2" xfId="0" applyFont="true" applyBorder="true" applyAlignment="true" applyProtection="false">
      <alignment horizontal="general" vertical="center" textRotation="0" wrapText="false" indent="0" shrinkToFit="false"/>
      <protection locked="true" hidden="false"/>
    </xf>
    <xf numFmtId="164" fontId="43" fillId="0" borderId="2" xfId="0" applyFont="true" applyBorder="true" applyAlignment="true" applyProtection="false">
      <alignment horizontal="left" vertical="center" textRotation="0" wrapText="false" indent="0" shrinkToFit="false"/>
      <protection locked="true" hidden="false"/>
    </xf>
    <xf numFmtId="165" fontId="46" fillId="9" borderId="2" xfId="0" applyFont="true" applyBorder="true" applyAlignment="true" applyProtection="false">
      <alignment horizontal="right" vertical="center" textRotation="0" wrapText="false" indent="0" shrinkToFit="false"/>
      <protection locked="true" hidden="false"/>
    </xf>
    <xf numFmtId="164" fontId="22" fillId="0" borderId="0" xfId="0" applyFont="true" applyBorder="false" applyAlignment="true" applyProtection="false">
      <alignment horizontal="general" vertical="center" textRotation="0" wrapText="fals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9" fontId="12" fillId="0" borderId="0" xfId="0" applyFont="true" applyBorder="false" applyAlignment="true" applyProtection="false">
      <alignment horizontal="right" vertical="center" textRotation="0" wrapText="false" indent="0" shrinkToFit="false"/>
      <protection locked="true" hidden="false"/>
    </xf>
    <xf numFmtId="164" fontId="22" fillId="0" borderId="2" xfId="0" applyFont="true" applyBorder="true" applyAlignment="true" applyProtection="false">
      <alignment horizontal="right" vertical="center" textRotation="0" wrapText="false" indent="0" shrinkToFit="false"/>
      <protection locked="true" hidden="false"/>
    </xf>
    <xf numFmtId="164" fontId="47" fillId="0" borderId="0" xfId="0" applyFont="true" applyBorder="false" applyAlignment="true" applyProtection="false">
      <alignment horizontal="center" vertical="center" textRotation="0" wrapText="false" indent="0" shrinkToFit="false"/>
      <protection locked="true" hidden="false"/>
    </xf>
    <xf numFmtId="164" fontId="31" fillId="0" borderId="0" xfId="0" applyFont="true" applyBorder="true" applyAlignment="true" applyProtection="false">
      <alignment horizontal="general" vertical="top" textRotation="0" wrapText="true" indent="0" shrinkToFit="false"/>
      <protection locked="true" hidden="false"/>
    </xf>
    <xf numFmtId="164" fontId="48" fillId="0" borderId="0" xfId="0" applyFont="true" applyBorder="fals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general" vertical="top" textRotation="0" wrapText="false" indent="0" shrinkToFit="false"/>
      <protection locked="true" hidden="false"/>
    </xf>
    <xf numFmtId="164" fontId="31" fillId="0" borderId="2" xfId="0" applyFont="true" applyBorder="true" applyAlignment="true" applyProtection="false">
      <alignment horizontal="general" vertical="top" textRotation="0" wrapText="true" indent="0" shrinkToFit="false"/>
      <protection locked="true" hidden="false"/>
    </xf>
    <xf numFmtId="164" fontId="13" fillId="0" borderId="2" xfId="0" applyFont="true" applyBorder="true" applyAlignment="true" applyProtection="false">
      <alignment horizontal="general" vertical="top" textRotation="0" wrapText="true" indent="0" shrinkToFit="false"/>
      <protection locked="true" hidden="false"/>
    </xf>
    <xf numFmtId="164" fontId="25" fillId="0" borderId="2" xfId="0" applyFont="true" applyBorder="true" applyAlignment="true" applyProtection="false">
      <alignment horizontal="general" vertical="top" textRotation="0" wrapText="true" indent="0" shrinkToFit="false"/>
      <protection locked="true" hidden="false"/>
    </xf>
    <xf numFmtId="164" fontId="49" fillId="0" borderId="2" xfId="0" applyFont="true" applyBorder="true" applyAlignment="true" applyProtection="false">
      <alignment horizontal="general" vertical="top" textRotation="0" wrapText="true" indent="0" shrinkToFit="false"/>
      <protection locked="true" hidden="false"/>
    </xf>
    <xf numFmtId="164" fontId="23" fillId="0" borderId="2" xfId="0" applyFont="true" applyBorder="true" applyAlignment="true" applyProtection="false">
      <alignment horizontal="general" vertical="top" textRotation="0" wrapText="true" indent="0" shrinkToFit="false"/>
      <protection locked="true" hidden="false"/>
    </xf>
    <xf numFmtId="164" fontId="14" fillId="0" borderId="2"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0">
    <dxf>
      <font>
        <name val="Arial"/>
        <charset val="1"/>
        <family val="0"/>
        <b val="1"/>
        <color rgb="FF3F6114"/>
        <sz val="10"/>
      </font>
      <fill>
        <patternFill>
          <bgColor rgb="FFEDF3DA"/>
        </patternFill>
      </fill>
    </dxf>
    <dxf>
      <font>
        <name val="Arial"/>
        <charset val="1"/>
        <family val="0"/>
        <b val="1"/>
        <color rgb="FF8A6410"/>
        <sz val="10"/>
      </font>
      <fill>
        <patternFill>
          <bgColor rgb="FFF8EFD4"/>
        </patternFill>
      </fill>
    </dxf>
    <dxf>
      <font>
        <name val="Arial"/>
        <charset val="1"/>
        <family val="0"/>
        <b val="1"/>
        <color rgb="FF8A2E1F"/>
        <sz val="10"/>
      </font>
      <fill>
        <patternFill>
          <bgColor rgb="FFF2E7DA"/>
        </patternFill>
      </fill>
    </dxf>
    <dxf>
      <fill>
        <patternFill patternType="solid">
          <fgColor rgb="FF5D603E"/>
          <bgColor rgb="FF000000"/>
        </patternFill>
      </fill>
    </dxf>
    <dxf>
      <fill>
        <patternFill patternType="solid">
          <fgColor rgb="FFEBEEDA"/>
          <bgColor rgb="FF000000"/>
        </patternFill>
      </fill>
    </dxf>
    <dxf>
      <fill>
        <patternFill patternType="solid">
          <fgColor rgb="FFECEEDD"/>
          <bgColor rgb="FF000000"/>
        </patternFill>
      </fill>
    </dxf>
    <dxf>
      <fill>
        <patternFill patternType="solid">
          <bgColor rgb="FF000000"/>
        </patternFill>
      </fill>
    </dxf>
    <dxf>
      <fill>
        <patternFill patternType="solid">
          <fgColor rgb="FF000000"/>
          <bgColor rgb="FF000000"/>
        </patternFill>
      </fill>
    </dxf>
    <dxf>
      <fill>
        <patternFill patternType="solid">
          <fgColor rgb="FF464930"/>
          <bgColor rgb="FF000000"/>
        </patternFill>
      </fill>
    </dxf>
    <dxf>
      <fill>
        <patternFill patternType="solid">
          <fgColor rgb="FF68705F"/>
          <bgColor rgb="FF000000"/>
        </patternFill>
      </fill>
    </dxf>
    <dxf>
      <fill>
        <patternFill patternType="solid">
          <fgColor rgb="FFFFFFFF"/>
          <bgColor rgb="FF000000"/>
        </patternFill>
      </fill>
    </dxf>
    <dxf>
      <fill>
        <patternFill patternType="solid">
          <fgColor rgb="FF1F261A"/>
          <bgColor rgb="FF000000"/>
        </patternFill>
      </fill>
    </dxf>
    <dxf>
      <fill>
        <patternFill patternType="solid">
          <fgColor rgb="FFEDF3DA"/>
          <bgColor rgb="FF000000"/>
        </patternFill>
      </fill>
    </dxf>
    <dxf>
      <fill>
        <patternFill patternType="solid">
          <fgColor rgb="FFF5F8EA"/>
          <bgColor rgb="FF000000"/>
        </patternFill>
      </fill>
    </dxf>
    <dxf>
      <fill>
        <patternFill patternType="solid">
          <fgColor rgb="FFF8EFD4"/>
          <bgColor rgb="FF000000"/>
        </patternFill>
      </fill>
    </dxf>
    <dxf>
      <fill>
        <patternFill patternType="solid">
          <fgColor rgb="FFFAFCF5"/>
          <bgColor rgb="FF000000"/>
        </patternFill>
      </fill>
    </dxf>
    <dxf>
      <fill>
        <patternFill patternType="solid">
          <fgColor rgb="FFFAFCF6"/>
          <bgColor rgb="FF000000"/>
        </patternFill>
      </fill>
    </dxf>
    <dxf>
      <fill>
        <patternFill patternType="solid">
          <fgColor rgb="FFFBFCF7"/>
          <bgColor rgb="FF000000"/>
        </patternFill>
      </fill>
    </dxf>
    <dxf>
      <fill>
        <patternFill patternType="solid">
          <fgColor rgb="FFFCFDF9"/>
          <bgColor rgb="FF000000"/>
        </patternFill>
      </fill>
    </dxf>
    <dxf>
      <fill>
        <patternFill patternType="solid">
          <fgColor rgb="FFFCFDFA"/>
          <bgColor rgb="FF000000"/>
        </patternFill>
      </fill>
    </dxf>
    <dxf>
      <fill>
        <patternFill patternType="solid">
          <fgColor rgb="FFFDFDFB"/>
          <bgColor rgb="FF000000"/>
        </patternFill>
      </fill>
    </dxf>
    <dxf>
      <fill>
        <patternFill patternType="solid">
          <fgColor rgb="FFFDFEFC"/>
          <bgColor rgb="FF000000"/>
        </patternFill>
      </fill>
    </dxf>
    <dxf>
      <fill>
        <patternFill patternType="solid">
          <fgColor rgb="FFFEFEFD"/>
          <bgColor rgb="FF000000"/>
        </patternFill>
      </fill>
    </dxf>
    <dxf>
      <fill>
        <patternFill patternType="solid">
          <fgColor rgb="FFFEFEFE"/>
          <bgColor rgb="FF000000"/>
        </patternFill>
      </fill>
    </dxf>
    <dxf>
      <fill>
        <patternFill patternType="solid">
          <fgColor rgb="FFFF0000"/>
          <bgColor rgb="FF000000"/>
        </patternFill>
      </fill>
    </dxf>
    <dxf>
      <fill>
        <patternFill patternType="solid">
          <fgColor rgb="FF66401F"/>
          <bgColor rgb="FF000000"/>
        </patternFill>
      </fill>
    </dxf>
    <dxf>
      <fill>
        <patternFill patternType="solid">
          <fgColor rgb="FFB18726"/>
          <bgColor rgb="FF000000"/>
        </patternFill>
      </fill>
    </dxf>
    <dxf>
      <font>
        <name val="Arial"/>
        <charset val="1"/>
        <family val="0"/>
        <b val="1"/>
        <color rgb="FF3F6114"/>
        <sz val="9"/>
      </font>
      <fill>
        <patternFill>
          <bgColor rgb="FFEDF3DA"/>
        </patternFill>
      </fill>
    </dxf>
    <dxf>
      <font>
        <name val="Arial"/>
        <charset val="1"/>
        <family val="0"/>
        <b val="1"/>
        <color rgb="FF8A6410"/>
        <sz val="9"/>
      </font>
      <fill>
        <patternFill>
          <bgColor rgb="FFF8EFD4"/>
        </patternFill>
      </fill>
    </dxf>
    <dxf>
      <font>
        <name val="Arial"/>
        <charset val="1"/>
        <family val="0"/>
        <b val="1"/>
        <color rgb="FF8A2E1F"/>
        <sz val="9"/>
      </font>
      <fill>
        <patternFill>
          <bgColor rgb="FFF2E7DA"/>
        </patternFill>
      </fill>
    </dxf>
  </dxfs>
  <colors>
    <indexedColors>
      <rgbColor rgb="FF000000"/>
      <rgbColor rgb="FFFFFFFF"/>
      <rgbColor rgb="FFFF0000"/>
      <rgbColor rgb="FF00FF00"/>
      <rgbColor rgb="FF0000FF"/>
      <rgbColor rgb="FFFFFF00"/>
      <rgbColor rgb="FFFF00FF"/>
      <rgbColor rgb="FF00FFFF"/>
      <rgbColor rgb="FF66401F"/>
      <rgbColor rgb="FF008000"/>
      <rgbColor rgb="FF000080"/>
      <rgbColor rgb="FF8A6410"/>
      <rgbColor rgb="FF800080"/>
      <rgbColor rgb="FF4F81BD"/>
      <rgbColor rgb="FFBFBFBF"/>
      <rgbColor rgb="FF878787"/>
      <rgbColor rgb="FF8064A2"/>
      <rgbColor rgb="FFBE4B48"/>
      <rgbColor rgb="FFF8EFD4"/>
      <rgbColor rgb="FFECEEDD"/>
      <rgbColor rgb="FF660066"/>
      <rgbColor rgb="FFF79646"/>
      <rgbColor rgb="FF68705F"/>
      <rgbColor rgb="FFD9D9D9"/>
      <rgbColor rgb="FF000080"/>
      <rgbColor rgb="FFFF00FF"/>
      <rgbColor rgb="FFFFFF00"/>
      <rgbColor rgb="FF00FFFF"/>
      <rgbColor rgb="FF800080"/>
      <rgbColor rgb="FF8A5A33"/>
      <rgbColor rgb="FF5A7D20"/>
      <rgbColor rgb="FF0000FF"/>
      <rgbColor rgb="FF00CCFF"/>
      <rgbColor rgb="FFEBEEDA"/>
      <rgbColor rgb="FFEDF3DA"/>
      <rgbColor rgb="FFF2E7DA"/>
      <rgbColor rgb="FFC6CFAA"/>
      <rgbColor rgb="FFFF99CC"/>
      <rgbColor rgb="FF7BA32F"/>
      <rgbColor rgb="FFDDE3C9"/>
      <rgbColor rgb="FF4A7EBB"/>
      <rgbColor rgb="FF4BACC6"/>
      <rgbColor rgb="FF98B855"/>
      <rgbColor rgb="FF9BBB59"/>
      <rgbColor rgb="FFF59240"/>
      <rgbColor rgb="FFB18726"/>
      <rgbColor rgb="FF7D5FA0"/>
      <rgbColor rgb="FFB3B88A"/>
      <rgbColor rgb="FF5D603E"/>
      <rgbColor rgb="FF46AAC4"/>
      <rgbColor rgb="FF3F6114"/>
      <rgbColor rgb="FF1F261A"/>
      <rgbColor rgb="FF8A2E1F"/>
      <rgbColor rgb="FFC0504D"/>
      <rgbColor rgb="FF464930"/>
      <rgbColor rgb="FF2E323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Anlagekosten nach BKP-Hauptgruppe – Urbanstreet vs. Methabau (CHF)</a:t>
            </a:r>
          </a:p>
        </c:rich>
      </c:tx>
      <c:overlay val="0"/>
      <c:spPr>
        <a:noFill/>
        <a:ln w="0">
          <a:noFill/>
        </a:ln>
      </c:spPr>
    </c:title>
    <c:autoTitleDeleted val="0"/>
    <c:plotArea>
      <c:barChart>
        <c:barDir val="col"/>
        <c:grouping val="clustered"/>
        <c:varyColors val="0"/>
        <c:ser>
          <c:idx val="0"/>
          <c:order val="0"/>
          <c:tx>
            <c:strRef>
              <c:f>'04 Vergleich Hauptgruppen'!C8</c:f>
              <c:strCache>
                <c:ptCount val="1"/>
                <c:pt idx="0">
                  <c:v>KV Urbanstreet
CHF</c:v>
                </c:pt>
              </c:strCache>
            </c:strRef>
          </c:tx>
          <c:spPr>
            <a:solidFill>
              <a:srgbClr val="5d603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'04 Vergleich Hauptgruppen'!$B$9:$B$14</c:f>
              <c:strCache>
                <c:ptCount val="6"/>
                <c:pt idx="0">
                  <c:v>Grundstück</c:v>
                </c:pt>
                <c:pt idx="1">
                  <c:v>Vorbereitungsarbeiten</c:v>
                </c:pt>
                <c:pt idx="2">
                  <c:v>Gebäude</c:v>
                </c:pt>
                <c:pt idx="3">
                  <c:v>Umgebung</c:v>
                </c:pt>
                <c:pt idx="4">
                  <c:v>Baunebenkosten</c:v>
                </c:pt>
                <c:pt idx="5">
                  <c:v>Bauherrenkosten</c:v>
                </c:pt>
              </c:strCache>
            </c:strRef>
          </c:cat>
          <c:val>
            <c:numRef>
              <c:f>'04 Vergleich Hauptgruppen'!$C$9:$C$14</c:f>
              <c:numCache>
                <c:formatCode>#,##0;[RED]\-#,##0;\–</c:formatCode>
                <c:ptCount val="6"/>
                <c:pt idx="0">
                  <c:v>15000000</c:v>
                </c:pt>
                <c:pt idx="1">
                  <c:v>7500000</c:v>
                </c:pt>
                <c:pt idx="2">
                  <c:v>45704000</c:v>
                </c:pt>
                <c:pt idx="3">
                  <c:v>700000</c:v>
                </c:pt>
                <c:pt idx="4">
                  <c:v>3540000</c:v>
                </c:pt>
                <c:pt idx="5">
                  <c:v>3556000</c:v>
                </c:pt>
              </c:numCache>
            </c:numRef>
          </c:val>
        </c:ser>
        <c:ser>
          <c:idx val="1"/>
          <c:order val="1"/>
          <c:tx>
            <c:strRef>
              <c:f>'04 Vergleich Hauptgruppen'!E8</c:f>
              <c:strCache>
                <c:ptCount val="1"/>
                <c:pt idx="0">
                  <c:v>Angebot Methabau
CHF</c:v>
                </c:pt>
              </c:strCache>
            </c:strRef>
          </c:tx>
          <c:spPr>
            <a:solidFill>
              <a:srgbClr val="b3b88a"/>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'04 Vergleich Hauptgruppen'!$B$9:$B$14</c:f>
              <c:strCache>
                <c:ptCount val="6"/>
                <c:pt idx="0">
                  <c:v>Grundstück</c:v>
                </c:pt>
                <c:pt idx="1">
                  <c:v>Vorbereitungsarbeiten</c:v>
                </c:pt>
                <c:pt idx="2">
                  <c:v>Gebäude</c:v>
                </c:pt>
                <c:pt idx="3">
                  <c:v>Umgebung</c:v>
                </c:pt>
                <c:pt idx="4">
                  <c:v>Baunebenkosten</c:v>
                </c:pt>
                <c:pt idx="5">
                  <c:v>Bauherrenkosten</c:v>
                </c:pt>
              </c:strCache>
            </c:strRef>
          </c:cat>
          <c:val>
            <c:numRef>
              <c:f>'04 Vergleich Hauptgruppen'!$E$9:$E$14</c:f>
              <c:numCache>
                <c:formatCode>#,##0;[RED]\-#,##0;\–</c:formatCode>
                <c:ptCount val="6"/>
                <c:pt idx="0">
                  <c:v>15000000</c:v>
                </c:pt>
                <c:pt idx="1">
                  <c:v>7500000</c:v>
                </c:pt>
                <c:pt idx="2">
                  <c:v>45039790</c:v>
                </c:pt>
                <c:pt idx="3">
                  <c:v>700000</c:v>
                </c:pt>
                <c:pt idx="4">
                  <c:v>3540000</c:v>
                </c:pt>
                <c:pt idx="5">
                  <c:v>3556000</c:v>
                </c:pt>
              </c:numCache>
            </c:numRef>
          </c:val>
        </c:ser>
        <c:gapWidth val="150"/>
        <c:overlap val="0"/>
        <c:axId val="28855610"/>
        <c:axId val="39013938"/>
      </c:barChart>
      <c:catAx>
        <c:axId val="2885561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9013938"/>
        <c:crosses val="autoZero"/>
        <c:auto val="1"/>
        <c:lblAlgn val="ctr"/>
        <c:lblOffset val="100"/>
        <c:noMultiLvlLbl val="0"/>
      </c:catAx>
      <c:valAx>
        <c:axId val="39013938"/>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8855610"/>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Kostenstruktur Anlagekosten (KV Urbanstreet)</a:t>
            </a:r>
          </a:p>
        </c:rich>
      </c:tx>
      <c:overlay val="0"/>
      <c:spPr>
        <a:noFill/>
        <a:ln w="0">
          <a:noFill/>
        </a:ln>
      </c:spPr>
    </c:title>
    <c:autoTitleDeleted val="0"/>
    <c:plotArea>
      <c:pieChart>
        <c:varyColors val="1"/>
        <c:ser>
          <c:idx val="0"/>
          <c:order val="0"/>
          <c:tx>
            <c:strRef>
              <c:f>'04 Vergleich Hauptgruppen'!C8</c:f>
              <c:strCache>
                <c:ptCount val="1"/>
                <c:pt idx="0">
                  <c:v>KV Urbanstreet
CHF</c:v>
                </c:pt>
              </c:strCache>
            </c:strRef>
          </c:tx>
          <c:spPr>
            <a:solidFill>
              <a:srgbClr val="4f81bd"/>
            </a:solidFill>
            <a:ln w="0">
              <a:noFill/>
            </a:ln>
          </c:spPr>
          <c:explosion val="0"/>
          <c:dPt>
            <c:idx val="0"/>
            <c:spPr>
              <a:solidFill>
                <a:srgbClr val="4f81bd"/>
              </a:solidFill>
              <a:ln w="0">
                <a:noFill/>
              </a:ln>
            </c:spPr>
          </c:dPt>
          <c:dPt>
            <c:idx val="1"/>
            <c:spPr>
              <a:solidFill>
                <a:srgbClr val="c0504d"/>
              </a:solidFill>
              <a:ln w="0">
                <a:noFill/>
              </a:ln>
            </c:spPr>
          </c:dPt>
          <c:dPt>
            <c:idx val="2"/>
            <c:spPr>
              <a:solidFill>
                <a:srgbClr val="9bbb59"/>
              </a:solidFill>
              <a:ln w="0">
                <a:noFill/>
              </a:ln>
            </c:spPr>
          </c:dPt>
          <c:dPt>
            <c:idx val="3"/>
            <c:spPr>
              <a:solidFill>
                <a:srgbClr val="8064a2"/>
              </a:solidFill>
              <a:ln w="0">
                <a:noFill/>
              </a:ln>
            </c:spPr>
          </c:dPt>
          <c:dPt>
            <c:idx val="4"/>
            <c:spPr>
              <a:solidFill>
                <a:srgbClr val="4bacc6"/>
              </a:solidFill>
              <a:ln w="0">
                <a:noFill/>
              </a:ln>
            </c:spPr>
          </c:dPt>
          <c:dPt>
            <c:idx val="5"/>
            <c:spPr>
              <a:solidFill>
                <a:srgbClr val="f79646"/>
              </a:solidFill>
              <a:ln w="0">
                <a:noFill/>
              </a:ln>
            </c:spPr>
          </c:dPt>
          <c:dLbls>
            <c:dLbl>
              <c:idx val="0"/>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1"/>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2"/>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3"/>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4"/>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5"/>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showLeaderLines val="1"/>
          </c:dLbls>
          <c:cat>
            <c:strRef>
              <c:f>'04 Vergleich Hauptgruppen'!$B$9:$B$14</c:f>
              <c:strCache>
                <c:ptCount val="6"/>
                <c:pt idx="0">
                  <c:v>Grundstück</c:v>
                </c:pt>
                <c:pt idx="1">
                  <c:v>Vorbereitungsarbeiten</c:v>
                </c:pt>
                <c:pt idx="2">
                  <c:v>Gebäude</c:v>
                </c:pt>
                <c:pt idx="3">
                  <c:v>Umgebung</c:v>
                </c:pt>
                <c:pt idx="4">
                  <c:v>Baunebenkosten</c:v>
                </c:pt>
                <c:pt idx="5">
                  <c:v>Bauherrenkosten</c:v>
                </c:pt>
              </c:strCache>
            </c:strRef>
          </c:cat>
          <c:val>
            <c:numRef>
              <c:f>'04 Vergleich Hauptgruppen'!$C$9:$C$14</c:f>
              <c:numCache>
                <c:formatCode>#,##0;[RED]\-#,##0;\–</c:formatCode>
                <c:ptCount val="6"/>
                <c:pt idx="0">
                  <c:v>15000000</c:v>
                </c:pt>
                <c:pt idx="1">
                  <c:v>7500000</c:v>
                </c:pt>
                <c:pt idx="2">
                  <c:v>45704000</c:v>
                </c:pt>
                <c:pt idx="3">
                  <c:v>700000</c:v>
                </c:pt>
                <c:pt idx="4">
                  <c:v>3540000</c:v>
                </c:pt>
                <c:pt idx="5">
                  <c:v>3556000</c:v>
                </c:pt>
              </c:numCache>
            </c:numRef>
          </c:val>
        </c:ser>
        <c:firstSliceAng val="0"/>
      </c:pieChart>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Kostenbrücke Urbanstreet → Methabau (CHF)</a:t>
            </a:r>
          </a:p>
        </c:rich>
      </c:tx>
      <c:overlay val="0"/>
      <c:spPr>
        <a:noFill/>
        <a:ln w="0">
          <a:noFill/>
        </a:ln>
      </c:spPr>
    </c:title>
    <c:autoTitleDeleted val="0"/>
    <c:plotArea>
      <c:barChart>
        <c:barDir val="col"/>
        <c:grouping val="stacked"/>
        <c:varyColors val="0"/>
        <c:ser>
          <c:idx val="0"/>
          <c:order val="0"/>
          <c:tx>
            <c:strRef>
              <c:f>'05 Delta-Analyse'!E8</c:f>
              <c:strCache>
                <c:ptCount val="1"/>
                <c:pt idx="0">
                  <c:v>Basis (Hilfsspalte)</c:v>
                </c:pt>
              </c:strCache>
            </c:strRef>
          </c:tx>
          <c:spPr>
            <a:no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'05 Delta-Analyse'!$B$9:$B$12</c:f>
              <c:strCache>
                <c:ptCount val="4"/>
                <c:pt idx="0">
                  <c:v>KV Urbanstreet, Anlagekosten</c:v>
                </c:pt>
                <c:pt idx="1">
                  <c:v>./. Planerhonorare BKP 29 – Leistungen wandern in den GU-Werkvertrag</c:v>
                </c:pt>
                <c:pt idx="2">
                  <c:v>+ Hochbauleistungen BKP 20–28 – GU-Pauschale gegen Einzelpositionen</c:v>
                </c:pt>
                <c:pt idx="3">
                  <c:v>Angebot Methabau, Anlagekosten</c:v>
                </c:pt>
              </c:strCache>
            </c:strRef>
          </c:cat>
          <c:val>
            <c:numRef>
              <c:f>'05 Delta-Analyse'!$E$9:$E$12</c:f>
              <c:numCache>
                <c:formatCode>#,##0;[RED]\-#,##0;\–</c:formatCode>
                <c:ptCount val="4"/>
                <c:pt idx="0">
                  <c:v>0</c:v>
                </c:pt>
                <c:pt idx="1">
                  <c:v>74307500</c:v>
                </c:pt>
                <c:pt idx="2">
                  <c:v>74307500</c:v>
                </c:pt>
                <c:pt idx="3">
                  <c:v>0</c:v>
                </c:pt>
              </c:numCache>
            </c:numRef>
          </c:val>
        </c:ser>
        <c:ser>
          <c:idx val="1"/>
          <c:order val="1"/>
          <c:tx>
            <c:strRef>
              <c:f>'05 Delta-Analyse'!F8</c:f>
              <c:strCache>
                <c:ptCount val="1"/>
                <c:pt idx="0">
                  <c:v>Zunahme</c:v>
                </c:pt>
              </c:strCache>
            </c:strRef>
          </c:tx>
          <c:spPr>
            <a:solidFill>
              <a:srgbClr val="7ba32f"/>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'05 Delta-Analyse'!$B$9:$B$12</c:f>
              <c:strCache>
                <c:ptCount val="4"/>
                <c:pt idx="0">
                  <c:v>KV Urbanstreet, Anlagekosten</c:v>
                </c:pt>
                <c:pt idx="1">
                  <c:v>./. Planerhonorare BKP 29 – Leistungen wandern in den GU-Werkvertrag</c:v>
                </c:pt>
                <c:pt idx="2">
                  <c:v>+ Hochbauleistungen BKP 20–28 – GU-Pauschale gegen Einzelpositionen</c:v>
                </c:pt>
                <c:pt idx="3">
                  <c:v>Angebot Methabau, Anlagekosten</c:v>
                </c:pt>
              </c:strCache>
            </c:strRef>
          </c:cat>
          <c:val>
            <c:numRef>
              <c:f>'05 Delta-Analyse'!$F$9:$F$12</c:f>
              <c:numCache>
                <c:formatCode>#,##0;[RED]\-#,##0;\–</c:formatCode>
                <c:ptCount val="4"/>
                <c:pt idx="0">
                  <c:v>0</c:v>
                </c:pt>
                <c:pt idx="1">
                  <c:v>0</c:v>
                </c:pt>
                <c:pt idx="2">
                  <c:v>1028290</c:v>
                </c:pt>
                <c:pt idx="3">
                  <c:v>0</c:v>
                </c:pt>
              </c:numCache>
            </c:numRef>
          </c:val>
        </c:ser>
        <c:ser>
          <c:idx val="2"/>
          <c:order val="2"/>
          <c:tx>
            <c:strRef>
              <c:f>'05 Delta-Analyse'!G8</c:f>
              <c:strCache>
                <c:ptCount val="1"/>
                <c:pt idx="0">
                  <c:v>Abnahme</c:v>
                </c:pt>
              </c:strCache>
            </c:strRef>
          </c:tx>
          <c:spPr>
            <a:solidFill>
              <a:srgbClr val="8a5a33"/>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'05 Delta-Analyse'!$B$9:$B$12</c:f>
              <c:strCache>
                <c:ptCount val="4"/>
                <c:pt idx="0">
                  <c:v>KV Urbanstreet, Anlagekosten</c:v>
                </c:pt>
                <c:pt idx="1">
                  <c:v>./. Planerhonorare BKP 29 – Leistungen wandern in den GU-Werkvertrag</c:v>
                </c:pt>
                <c:pt idx="2">
                  <c:v>+ Hochbauleistungen BKP 20–28 – GU-Pauschale gegen Einzelpositionen</c:v>
                </c:pt>
                <c:pt idx="3">
                  <c:v>Angebot Methabau, Anlagekosten</c:v>
                </c:pt>
              </c:strCache>
            </c:strRef>
          </c:cat>
          <c:val>
            <c:numRef>
              <c:f>'05 Delta-Analyse'!$G$9:$G$12</c:f>
              <c:numCache>
                <c:formatCode>#,##0;[RED]\-#,##0;\–</c:formatCode>
                <c:ptCount val="4"/>
                <c:pt idx="0">
                  <c:v>0</c:v>
                </c:pt>
                <c:pt idx="1">
                  <c:v>1692500</c:v>
                </c:pt>
                <c:pt idx="2">
                  <c:v>0</c:v>
                </c:pt>
                <c:pt idx="3">
                  <c:v>0</c:v>
                </c:pt>
              </c:numCache>
            </c:numRef>
          </c:val>
        </c:ser>
        <c:ser>
          <c:idx val="3"/>
          <c:order val="3"/>
          <c:tx>
            <c:strRef>
              <c:f>'05 Delta-Analyse'!H8</c:f>
              <c:strCache>
                <c:ptCount val="1"/>
                <c:pt idx="0">
                  <c:v>Wert</c:v>
                </c:pt>
              </c:strCache>
            </c:strRef>
          </c:tx>
          <c:spPr>
            <a:solidFill>
              <a:srgbClr val="5d603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'05 Delta-Analyse'!$B$9:$B$12</c:f>
              <c:strCache>
                <c:ptCount val="4"/>
                <c:pt idx="0">
                  <c:v>KV Urbanstreet, Anlagekosten</c:v>
                </c:pt>
                <c:pt idx="1">
                  <c:v>./. Planerhonorare BKP 29 – Leistungen wandern in den GU-Werkvertrag</c:v>
                </c:pt>
                <c:pt idx="2">
                  <c:v>+ Hochbauleistungen BKP 20–28 – GU-Pauschale gegen Einzelpositionen</c:v>
                </c:pt>
                <c:pt idx="3">
                  <c:v>Angebot Methabau, Anlagekosten</c:v>
                </c:pt>
              </c:strCache>
            </c:strRef>
          </c:cat>
          <c:val>
            <c:numRef>
              <c:f>'05 Delta-Analyse'!$H$9:$H$12</c:f>
              <c:numCache>
                <c:formatCode>#,##0;[RED]\-#,##0;\–</c:formatCode>
                <c:ptCount val="4"/>
                <c:pt idx="0">
                  <c:v>76000000</c:v>
                </c:pt>
                <c:pt idx="1">
                  <c:v>0</c:v>
                </c:pt>
                <c:pt idx="2">
                  <c:v>0</c:v>
                </c:pt>
                <c:pt idx="3">
                  <c:v>75335790</c:v>
                </c:pt>
              </c:numCache>
            </c:numRef>
          </c:val>
        </c:ser>
        <c:gapWidth val="150"/>
        <c:overlap val="100"/>
        <c:axId val="87483467"/>
        <c:axId val="731680"/>
      </c:barChart>
      <c:catAx>
        <c:axId val="87483467"/>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31680"/>
        <c:crosses val="autoZero"/>
        <c:auto val="1"/>
        <c:lblAlgn val="ctr"/>
        <c:lblOffset val="100"/>
        <c:noMultiLvlLbl val="0"/>
      </c:catAx>
      <c:valAx>
        <c:axId val="731680"/>
        <c:scaling>
          <c:orientation val="minMax"/>
          <c:max val="78000000"/>
          <c:min val="70000000"/>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7483467"/>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Kostenkennwerte je m² Geschossfläche gegen Richtwertband (CHF)</a:t>
            </a:r>
          </a:p>
        </c:rich>
      </c:tx>
      <c:overlay val="0"/>
      <c:spPr>
        <a:noFill/>
        <a:ln w="0">
          <a:noFill/>
        </a:ln>
      </c:spPr>
    </c:title>
    <c:autoTitleDeleted val="0"/>
    <c:plotArea>
      <c:barChart>
        <c:barDir val="bar"/>
        <c:grouping val="clustered"/>
        <c:varyColors val="0"/>
        <c:ser>
          <c:idx val="0"/>
          <c:order val="0"/>
          <c:tx>
            <c:strRef>
              <c:f>'06 Benchmarks CH'!D8</c:f>
              <c:strCache>
                <c:ptCount val="1"/>
                <c:pt idx="0">
                  <c:v>Ist – Urbanstreet</c:v>
                </c:pt>
              </c:strCache>
            </c:strRef>
          </c:tx>
          <c:spPr>
            <a:solidFill>
              <a:srgbClr val="5d603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'06 Benchmarks CH'!$B$9:$B$11</c:f>
              <c:strCache>
                <c:ptCount val="3"/>
                <c:pt idx="0">
                  <c:v>Anlagekosten je m² Geschossfläche</c:v>
                </c:pt>
                <c:pt idx="1">
                  <c:v>Erstellungskosten BKP 1–6 je m² GF</c:v>
                </c:pt>
                <c:pt idx="2">
                  <c:v>Gebäudekosten BKP 2 je m² GF</c:v>
                </c:pt>
              </c:strCache>
            </c:strRef>
          </c:cat>
          <c:val>
            <c:numRef>
              <c:f>'06 Benchmarks CH'!$D$9:$D$11</c:f>
              <c:numCache>
                <c:formatCode>#,##0;[RED]\-#,##0;\–</c:formatCode>
                <c:ptCount val="3"/>
                <c:pt idx="0">
                  <c:v>3103.81442456914</c:v>
                </c:pt>
                <c:pt idx="1">
                  <c:v>2491.21947235155</c:v>
                </c:pt>
                <c:pt idx="2">
                  <c:v>1866.53597974353</c:v>
                </c:pt>
              </c:numCache>
            </c:numRef>
          </c:val>
        </c:ser>
        <c:ser>
          <c:idx val="1"/>
          <c:order val="1"/>
          <c:tx>
            <c:strRef>
              <c:f>'06 Benchmarks CH'!F8</c:f>
              <c:strCache>
                <c:ptCount val="1"/>
                <c:pt idx="0">
                  <c:v>Richtwert von</c:v>
                </c:pt>
              </c:strCache>
            </c:strRef>
          </c:tx>
          <c:spPr>
            <a:solidFill>
              <a:srgbClr val="ebeeda"/>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'06 Benchmarks CH'!$B$9:$B$11</c:f>
              <c:strCache>
                <c:ptCount val="3"/>
                <c:pt idx="0">
                  <c:v>Anlagekosten je m² Geschossfläche</c:v>
                </c:pt>
                <c:pt idx="1">
                  <c:v>Erstellungskosten BKP 1–6 je m² GF</c:v>
                </c:pt>
                <c:pt idx="2">
                  <c:v>Gebäudekosten BKP 2 je m² GF</c:v>
                </c:pt>
              </c:strCache>
            </c:strRef>
          </c:cat>
          <c:val>
            <c:numRef>
              <c:f>'06 Benchmarks CH'!$F$9:$F$11</c:f>
              <c:numCache>
                <c:formatCode>#,##0;[RED]\-#,##0;\–</c:formatCode>
                <c:ptCount val="3"/>
                <c:pt idx="0">
                  <c:v>2400</c:v>
                </c:pt>
                <c:pt idx="1">
                  <c:v>2000</c:v>
                </c:pt>
                <c:pt idx="2">
                  <c:v>1500</c:v>
                </c:pt>
              </c:numCache>
            </c:numRef>
          </c:val>
        </c:ser>
        <c:ser>
          <c:idx val="2"/>
          <c:order val="2"/>
          <c:tx>
            <c:strRef>
              <c:f>'06 Benchmarks CH'!G8</c:f>
              <c:strCache>
                <c:ptCount val="1"/>
                <c:pt idx="0">
                  <c:v>Richtwert bis</c:v>
                </c:pt>
              </c:strCache>
            </c:strRef>
          </c:tx>
          <c:spPr>
            <a:solidFill>
              <a:srgbClr val="c6cfaa"/>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'06 Benchmarks CH'!$B$9:$B$11</c:f>
              <c:strCache>
                <c:ptCount val="3"/>
                <c:pt idx="0">
                  <c:v>Anlagekosten je m² Geschossfläche</c:v>
                </c:pt>
                <c:pt idx="1">
                  <c:v>Erstellungskosten BKP 1–6 je m² GF</c:v>
                </c:pt>
                <c:pt idx="2">
                  <c:v>Gebäudekosten BKP 2 je m² GF</c:v>
                </c:pt>
              </c:strCache>
            </c:strRef>
          </c:cat>
          <c:val>
            <c:numRef>
              <c:f>'06 Benchmarks CH'!$G$9:$G$11</c:f>
              <c:numCache>
                <c:formatCode>#,##0;[RED]\-#,##0;\–</c:formatCode>
                <c:ptCount val="3"/>
                <c:pt idx="0">
                  <c:v>3600</c:v>
                </c:pt>
                <c:pt idx="1">
                  <c:v>2900</c:v>
                </c:pt>
                <c:pt idx="2">
                  <c:v>2300</c:v>
                </c:pt>
              </c:numCache>
            </c:numRef>
          </c:val>
        </c:ser>
        <c:gapWidth val="150"/>
        <c:overlap val="0"/>
        <c:axId val="99502192"/>
        <c:axId val="62732386"/>
      </c:barChart>
      <c:catAx>
        <c:axId val="9950219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2732386"/>
        <c:crosses val="autoZero"/>
        <c:auto val="1"/>
        <c:lblAlgn val="ctr"/>
        <c:lblOffset val="100"/>
        <c:noMultiLvlLbl val="0"/>
      </c:catAx>
      <c:valAx>
        <c:axId val="62732386"/>
        <c:scaling>
          <c:orientation val="minMax"/>
        </c:scaling>
        <c:delete val="0"/>
        <c:axPos val="l"/>
        <c:majorGridlines>
          <c:spPr>
            <a:ln w="9360">
              <a:solidFill>
                <a:srgbClr val="878787"/>
              </a:solidFill>
              <a:round/>
            </a:ln>
          </c:spPr>
        </c:majorGridlines>
        <c:numFmt formatCode="#,##0;[RED]\-#,##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9502192"/>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Soll-Mietertrag nach Nutzung (CHF/Jahr)</a:t>
            </a:r>
          </a:p>
        </c:rich>
      </c:tx>
      <c:overlay val="0"/>
      <c:spPr>
        <a:noFill/>
        <a:ln w="0">
          <a:noFill/>
        </a:ln>
      </c:spPr>
    </c:title>
    <c:autoTitleDeleted val="0"/>
    <c:plotArea>
      <c:barChart>
        <c:barDir val="col"/>
        <c:grouping val="clustered"/>
        <c:varyColors val="0"/>
        <c:ser>
          <c:idx val="0"/>
          <c:order val="0"/>
          <c:tx>
            <c:strRef>
              <c:f>'08 Ertrag &amp; Rendite'!G8</c:f>
              <c:strCache>
                <c:ptCount val="1"/>
                <c:pt idx="0">
                  <c:v>Soll-Mietertrag
CHF/Jahr</c:v>
                </c:pt>
              </c:strCache>
            </c:strRef>
          </c:tx>
          <c:spPr>
            <a:solidFill>
              <a:srgbClr val="5d603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'08 Ertrag &amp; Rendite'!$B$9:$B$13</c:f>
              <c:strCache>
                <c:ptCount val="5"/>
                <c:pt idx="0">
                  <c:v>Gewerbeflächen Gewerbehäuser</c:v>
                </c:pt>
                <c:pt idx="1">
                  <c:v>Wohn- und Büroflächen Gewerbehäuser</c:v>
                </c:pt>
                <c:pt idx="2">
                  <c:v>Parkplätze Gewerbehäuser</c:v>
                </c:pt>
                <c:pt idx="3">
                  <c:v>Flächen Mehrzweckgebäude</c:v>
                </c:pt>
                <c:pt idx="4">
                  <c:v>Parkplätze Mehrzweckgebäude</c:v>
                </c:pt>
              </c:strCache>
            </c:strRef>
          </c:cat>
          <c:val>
            <c:numRef>
              <c:f>'08 Ertrag &amp; Rendite'!$G$9:$G$13</c:f>
              <c:numCache>
                <c:formatCode>#,##0;[RED]\-#,##0;\–</c:formatCode>
                <c:ptCount val="5"/>
                <c:pt idx="0">
                  <c:v>1882580</c:v>
                </c:pt>
                <c:pt idx="1">
                  <c:v>1595440</c:v>
                </c:pt>
                <c:pt idx="2">
                  <c:v>238047.6</c:v>
                </c:pt>
                <c:pt idx="3">
                  <c:v>210000</c:v>
                </c:pt>
                <c:pt idx="4">
                  <c:v>36000</c:v>
                </c:pt>
              </c:numCache>
            </c:numRef>
          </c:val>
        </c:ser>
        <c:gapWidth val="150"/>
        <c:overlap val="0"/>
        <c:axId val="74358353"/>
        <c:axId val="54275231"/>
      </c:barChart>
      <c:catAx>
        <c:axId val="74358353"/>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4275231"/>
        <c:crosses val="autoZero"/>
        <c:auto val="1"/>
        <c:lblAlgn val="ctr"/>
        <c:lblOffset val="100"/>
        <c:noMultiLvlLbl val="0"/>
      </c:catAx>
      <c:valAx>
        <c:axId val="54275231"/>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4358353"/>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Projektgewinn in Abhängigkeit vom Kapitalisierungssatz (CHF)</a:t>
            </a:r>
          </a:p>
        </c:rich>
      </c:tx>
      <c:overlay val="0"/>
      <c:spPr>
        <a:noFill/>
        <a:ln w="0">
          <a:noFill/>
        </a:ln>
      </c:spPr>
    </c:title>
    <c:autoTitleDeleted val="0"/>
    <c:plotArea>
      <c:lineChart>
        <c:grouping val="standard"/>
        <c:varyColors val="0"/>
        <c:ser>
          <c:idx val="0"/>
          <c:order val="0"/>
          <c:tx>
            <c:strRef>
              <c:f>'09 Sensitivitäten'!C9</c:f>
              <c:strCache>
                <c:ptCount val="1"/>
                <c:pt idx="0">
                  <c:v>-10%</c:v>
                </c:pt>
              </c:strCache>
            </c:strRef>
          </c:tx>
          <c:spPr>
            <a:solidFill>
              <a:srgbClr val="4a7ebb"/>
            </a:solidFill>
            <a:ln w="28440">
              <a:solidFill>
                <a:srgbClr val="4a7eb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'09 Sensitivitäten'!$B$10:$B$16</c:f>
              <c:strCache>
                <c:ptCount val="7"/>
                <c:pt idx="0">
                  <c:v>3.50%</c:v>
                </c:pt>
                <c:pt idx="1">
                  <c:v>3.75%</c:v>
                </c:pt>
                <c:pt idx="2">
                  <c:v>4.00%</c:v>
                </c:pt>
                <c:pt idx="3">
                  <c:v>4.25%</c:v>
                </c:pt>
                <c:pt idx="4">
                  <c:v>4.50%</c:v>
                </c:pt>
                <c:pt idx="5">
                  <c:v>4.75%</c:v>
                </c:pt>
                <c:pt idx="6">
                  <c:v>5.00%</c:v>
                </c:pt>
              </c:strCache>
            </c:strRef>
          </c:cat>
          <c:val>
            <c:numRef>
              <c:f>'09 Sensitivitäten'!$C$10:$C$16</c:f>
              <c:numCache>
                <c:formatCode>\+#,##0;[RED]\-#,##0;\–</c:formatCode>
                <c:ptCount val="7"/>
                <c:pt idx="0">
                  <c:v>24746028.0394286</c:v>
                </c:pt>
                <c:pt idx="1">
                  <c:v>18576145.4368</c:v>
                </c:pt>
                <c:pt idx="2">
                  <c:v>13177498.1595</c:v>
                </c:pt>
                <c:pt idx="3">
                  <c:v>8413985.85599999</c:v>
                </c:pt>
                <c:pt idx="4">
                  <c:v>4179752.69733334</c:v>
                </c:pt>
                <c:pt idx="5">
                  <c:v>391228.292210534</c:v>
                </c:pt>
                <c:pt idx="6">
                  <c:v>-3018443.67240001</c:v>
                </c:pt>
              </c:numCache>
            </c:numRef>
          </c:val>
          <c:smooth val="1"/>
        </c:ser>
        <c:ser>
          <c:idx val="1"/>
          <c:order val="1"/>
          <c:tx>
            <c:strRef>
              <c:f>'09 Sensitivitäten'!D9</c:f>
              <c:strCache>
                <c:ptCount val="1"/>
                <c:pt idx="0">
                  <c:v>-5%</c:v>
                </c:pt>
              </c:strCache>
            </c:strRef>
          </c:tx>
          <c:spPr>
            <a:solidFill>
              <a:srgbClr val="be4b48"/>
            </a:solidFill>
            <a:ln w="28440">
              <a:solidFill>
                <a:srgbClr val="be4b48"/>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'09 Sensitivitäten'!$B$10:$B$16</c:f>
              <c:strCache>
                <c:ptCount val="7"/>
                <c:pt idx="0">
                  <c:v>3.50%</c:v>
                </c:pt>
                <c:pt idx="1">
                  <c:v>3.75%</c:v>
                </c:pt>
                <c:pt idx="2">
                  <c:v>4.00%</c:v>
                </c:pt>
                <c:pt idx="3">
                  <c:v>4.25%</c:v>
                </c:pt>
                <c:pt idx="4">
                  <c:v>4.50%</c:v>
                </c:pt>
                <c:pt idx="5">
                  <c:v>4.75%</c:v>
                </c:pt>
                <c:pt idx="6">
                  <c:v>5.00%</c:v>
                </c:pt>
              </c:strCache>
            </c:strRef>
          </c:cat>
          <c:val>
            <c:numRef>
              <c:f>'09 Sensitivitäten'!$D$10:$D$16</c:f>
              <c:numCache>
                <c:formatCode>\+#,##0;[RED]\-#,##0;\–</c:formatCode>
                <c:ptCount val="7"/>
                <c:pt idx="0">
                  <c:v>20979238.5394286</c:v>
                </c:pt>
                <c:pt idx="1">
                  <c:v>14809355.9368</c:v>
                </c:pt>
                <c:pt idx="2">
                  <c:v>9410708.6595</c:v>
                </c:pt>
                <c:pt idx="3">
                  <c:v>4647196.35599999</c:v>
                </c:pt>
                <c:pt idx="4">
                  <c:v>412963.197333336</c:v>
                </c:pt>
                <c:pt idx="5">
                  <c:v>-3375561.20778947</c:v>
                </c:pt>
                <c:pt idx="6">
                  <c:v>-6785233.17240001</c:v>
                </c:pt>
              </c:numCache>
            </c:numRef>
          </c:val>
          <c:smooth val="1"/>
        </c:ser>
        <c:ser>
          <c:idx val="2"/>
          <c:order val="2"/>
          <c:tx>
            <c:strRef>
              <c:f>'09 Sensitivitäten'!E9</c:f>
              <c:strCache>
                <c:ptCount val="1"/>
                <c:pt idx="0">
                  <c:v>Basis</c:v>
                </c:pt>
              </c:strCache>
            </c:strRef>
          </c:tx>
          <c:spPr>
            <a:solidFill>
              <a:srgbClr val="98b855"/>
            </a:solidFill>
            <a:ln w="28440">
              <a:solidFill>
                <a:srgbClr val="98b855"/>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'09 Sensitivitäten'!$B$10:$B$16</c:f>
              <c:strCache>
                <c:ptCount val="7"/>
                <c:pt idx="0">
                  <c:v>3.50%</c:v>
                </c:pt>
                <c:pt idx="1">
                  <c:v>3.75%</c:v>
                </c:pt>
                <c:pt idx="2">
                  <c:v>4.00%</c:v>
                </c:pt>
                <c:pt idx="3">
                  <c:v>4.25%</c:v>
                </c:pt>
                <c:pt idx="4">
                  <c:v>4.50%</c:v>
                </c:pt>
                <c:pt idx="5">
                  <c:v>4.75%</c:v>
                </c:pt>
                <c:pt idx="6">
                  <c:v>5.00%</c:v>
                </c:pt>
              </c:strCache>
            </c:strRef>
          </c:cat>
          <c:val>
            <c:numRef>
              <c:f>'09 Sensitivitäten'!$E$10:$E$16</c:f>
              <c:numCache>
                <c:formatCode>\+#,##0;[RED]\-#,##0;\–</c:formatCode>
                <c:ptCount val="7"/>
                <c:pt idx="0">
                  <c:v>17212449.0394286</c:v>
                </c:pt>
                <c:pt idx="1">
                  <c:v>11042566.4368</c:v>
                </c:pt>
                <c:pt idx="2">
                  <c:v>5643919.1595</c:v>
                </c:pt>
                <c:pt idx="3">
                  <c:v>880406.855999991</c:v>
                </c:pt>
                <c:pt idx="4">
                  <c:v>-3353826.30266666</c:v>
                </c:pt>
                <c:pt idx="5">
                  <c:v>-7142350.70778947</c:v>
                </c:pt>
                <c:pt idx="6">
                  <c:v>-10552022.6724</c:v>
                </c:pt>
              </c:numCache>
            </c:numRef>
          </c:val>
          <c:smooth val="1"/>
        </c:ser>
        <c:ser>
          <c:idx val="3"/>
          <c:order val="3"/>
          <c:tx>
            <c:strRef>
              <c:f>'09 Sensitivitäten'!F9</c:f>
              <c:strCache>
                <c:ptCount val="1"/>
                <c:pt idx="0">
                  <c:v>+5%</c:v>
                </c:pt>
              </c:strCache>
            </c:strRef>
          </c:tx>
          <c:spPr>
            <a:solidFill>
              <a:srgbClr val="7d5fa0"/>
            </a:solidFill>
            <a:ln w="28440">
              <a:solidFill>
                <a:srgbClr val="7d5fa0"/>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'09 Sensitivitäten'!$B$10:$B$16</c:f>
              <c:strCache>
                <c:ptCount val="7"/>
                <c:pt idx="0">
                  <c:v>3.50%</c:v>
                </c:pt>
                <c:pt idx="1">
                  <c:v>3.75%</c:v>
                </c:pt>
                <c:pt idx="2">
                  <c:v>4.00%</c:v>
                </c:pt>
                <c:pt idx="3">
                  <c:v>4.25%</c:v>
                </c:pt>
                <c:pt idx="4">
                  <c:v>4.50%</c:v>
                </c:pt>
                <c:pt idx="5">
                  <c:v>4.75%</c:v>
                </c:pt>
                <c:pt idx="6">
                  <c:v>5.00%</c:v>
                </c:pt>
              </c:strCache>
            </c:strRef>
          </c:cat>
          <c:val>
            <c:numRef>
              <c:f>'09 Sensitivitäten'!$F$10:$F$16</c:f>
              <c:numCache>
                <c:formatCode>\+#,##0;[RED]\-#,##0;\–</c:formatCode>
                <c:ptCount val="7"/>
                <c:pt idx="0">
                  <c:v>13445659.5394286</c:v>
                </c:pt>
                <c:pt idx="1">
                  <c:v>7275776.9368</c:v>
                </c:pt>
                <c:pt idx="2">
                  <c:v>1877129.6595</c:v>
                </c:pt>
                <c:pt idx="3">
                  <c:v>-2886382.64400001</c:v>
                </c:pt>
                <c:pt idx="4">
                  <c:v>-7120615.80266666</c:v>
                </c:pt>
                <c:pt idx="5">
                  <c:v>-10909140.2077895</c:v>
                </c:pt>
                <c:pt idx="6">
                  <c:v>-14318812.1724</c:v>
                </c:pt>
              </c:numCache>
            </c:numRef>
          </c:val>
          <c:smooth val="1"/>
        </c:ser>
        <c:ser>
          <c:idx val="4"/>
          <c:order val="4"/>
          <c:tx>
            <c:strRef>
              <c:f>'09 Sensitivitäten'!G9</c:f>
              <c:strCache>
                <c:ptCount val="1"/>
                <c:pt idx="0">
                  <c:v>+10%</c:v>
                </c:pt>
              </c:strCache>
            </c:strRef>
          </c:tx>
          <c:spPr>
            <a:solidFill>
              <a:srgbClr val="46aac4"/>
            </a:solidFill>
            <a:ln w="28440">
              <a:solidFill>
                <a:srgbClr val="46aac4"/>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'09 Sensitivitäten'!$B$10:$B$16</c:f>
              <c:strCache>
                <c:ptCount val="7"/>
                <c:pt idx="0">
                  <c:v>3.50%</c:v>
                </c:pt>
                <c:pt idx="1">
                  <c:v>3.75%</c:v>
                </c:pt>
                <c:pt idx="2">
                  <c:v>4.00%</c:v>
                </c:pt>
                <c:pt idx="3">
                  <c:v>4.25%</c:v>
                </c:pt>
                <c:pt idx="4">
                  <c:v>4.50%</c:v>
                </c:pt>
                <c:pt idx="5">
                  <c:v>4.75%</c:v>
                </c:pt>
                <c:pt idx="6">
                  <c:v>5.00%</c:v>
                </c:pt>
              </c:strCache>
            </c:strRef>
          </c:cat>
          <c:val>
            <c:numRef>
              <c:f>'09 Sensitivitäten'!$G$10:$G$16</c:f>
              <c:numCache>
                <c:formatCode>\+#,##0;[RED]\-#,##0;\–</c:formatCode>
                <c:ptCount val="7"/>
                <c:pt idx="0">
                  <c:v>9678870.03942856</c:v>
                </c:pt>
                <c:pt idx="1">
                  <c:v>3508987.4368</c:v>
                </c:pt>
                <c:pt idx="2">
                  <c:v>-1889659.8405</c:v>
                </c:pt>
                <c:pt idx="3">
                  <c:v>-6653172.14400001</c:v>
                </c:pt>
                <c:pt idx="4">
                  <c:v>-10887405.3026667</c:v>
                </c:pt>
                <c:pt idx="5">
                  <c:v>-14675929.7077895</c:v>
                </c:pt>
                <c:pt idx="6">
                  <c:v>-18085601.6724</c:v>
                </c:pt>
              </c:numCache>
            </c:numRef>
          </c:val>
          <c:smooth val="1"/>
        </c:ser>
        <c:ser>
          <c:idx val="5"/>
          <c:order val="5"/>
          <c:tx>
            <c:strRef>
              <c:f>'09 Sensitivitäten'!H9</c:f>
              <c:strCache>
                <c:ptCount val="1"/>
                <c:pt idx="0">
                  <c:v>+15%</c:v>
                </c:pt>
              </c:strCache>
            </c:strRef>
          </c:tx>
          <c:spPr>
            <a:solidFill>
              <a:srgbClr val="f59240"/>
            </a:solidFill>
            <a:ln w="28440">
              <a:solidFill>
                <a:srgbClr val="f59240"/>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'09 Sensitivitäten'!$B$10:$B$16</c:f>
              <c:strCache>
                <c:ptCount val="7"/>
                <c:pt idx="0">
                  <c:v>3.50%</c:v>
                </c:pt>
                <c:pt idx="1">
                  <c:v>3.75%</c:v>
                </c:pt>
                <c:pt idx="2">
                  <c:v>4.00%</c:v>
                </c:pt>
                <c:pt idx="3">
                  <c:v>4.25%</c:v>
                </c:pt>
                <c:pt idx="4">
                  <c:v>4.50%</c:v>
                </c:pt>
                <c:pt idx="5">
                  <c:v>4.75%</c:v>
                </c:pt>
                <c:pt idx="6">
                  <c:v>5.00%</c:v>
                </c:pt>
              </c:strCache>
            </c:strRef>
          </c:cat>
          <c:val>
            <c:numRef>
              <c:f>'09 Sensitivitäten'!$H$10:$H$16</c:f>
              <c:numCache>
                <c:formatCode>\+#,##0;[RED]\-#,##0;\–</c:formatCode>
                <c:ptCount val="7"/>
                <c:pt idx="0">
                  <c:v>5912080.53942856</c:v>
                </c:pt>
                <c:pt idx="1">
                  <c:v>-257802.063199997</c:v>
                </c:pt>
                <c:pt idx="2">
                  <c:v>-5656449.3405</c:v>
                </c:pt>
                <c:pt idx="3">
                  <c:v>-10419961.644</c:v>
                </c:pt>
                <c:pt idx="4">
                  <c:v>-14654194.8026667</c:v>
                </c:pt>
                <c:pt idx="5">
                  <c:v>-18442719.2077895</c:v>
                </c:pt>
                <c:pt idx="6">
                  <c:v>-21852391.1724</c:v>
                </c:pt>
              </c:numCache>
            </c:numRef>
          </c:val>
          <c:smooth val="1"/>
        </c:ser>
        <c:hiLowLines>
          <c:spPr>
            <a:ln w="0">
              <a:noFill/>
            </a:ln>
          </c:spPr>
        </c:hiLowLines>
        <c:marker val="0"/>
        <c:axId val="76298654"/>
        <c:axId val="53306268"/>
      </c:lineChart>
      <c:catAx>
        <c:axId val="76298654"/>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Kapitalisierungssatz</a:t>
                </a:r>
              </a:p>
            </c:rich>
          </c:tx>
          <c:overlay val="0"/>
          <c:spPr>
            <a:noFill/>
            <a:ln w="0">
              <a:noFill/>
            </a:ln>
          </c:spPr>
        </c:title>
        <c:numFmt formatCode="0.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3306268"/>
        <c:crosses val="autoZero"/>
        <c:auto val="1"/>
        <c:lblAlgn val="ctr"/>
        <c:lblOffset val="100"/>
        <c:noMultiLvlLbl val="0"/>
      </c:catAx>
      <c:valAx>
        <c:axId val="53306268"/>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Projektgewinn CHF</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6298654"/>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Projektgewinn je Szenario (CHF)</a:t>
            </a:r>
          </a:p>
        </c:rich>
      </c:tx>
      <c:overlay val="0"/>
      <c:spPr>
        <a:noFill/>
        <a:ln w="0">
          <a:noFill/>
        </a:ln>
      </c:spPr>
    </c:title>
    <c:autoTitleDeleted val="0"/>
    <c:plotArea>
      <c:barChart>
        <c:barDir val="col"/>
        <c:grouping val="clustered"/>
        <c:varyColors val="0"/>
        <c:ser>
          <c:idx val="0"/>
          <c:order val="0"/>
          <c:spPr>
            <a:solidFill>
              <a:srgbClr val="5d603e"/>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'10 Szenarien'!$D$16:$F$16</c:f>
              <c:strCache>
                <c:ptCount val="3"/>
                <c:pt idx="0">
                  <c:v>Worst Case</c:v>
                </c:pt>
                <c:pt idx="1">
                  <c:v>Base Case</c:v>
                </c:pt>
                <c:pt idx="2">
                  <c:v>Best Case</c:v>
                </c:pt>
              </c:strCache>
            </c:strRef>
          </c:cat>
          <c:val>
            <c:numRef>
              <c:f>'10 Szenarien'!$D$23:$F$23</c:f>
              <c:numCache>
                <c:formatCode>\+#,##0;[RED]\-#,##0;\–</c:formatCode>
                <c:ptCount val="3"/>
                <c:pt idx="0">
                  <c:v>-31888611.0713053</c:v>
                </c:pt>
                <c:pt idx="1">
                  <c:v>880406.855999991</c:v>
                </c:pt>
                <c:pt idx="2">
                  <c:v>18336040.6566923</c:v>
                </c:pt>
              </c:numCache>
            </c:numRef>
          </c:val>
        </c:ser>
        <c:gapWidth val="150"/>
        <c:overlap val="0"/>
        <c:axId val="37243062"/>
        <c:axId val="38426529"/>
      </c:barChart>
      <c:catAx>
        <c:axId val="3724306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8426529"/>
        <c:crosses val="autoZero"/>
        <c:auto val="1"/>
        <c:lblAlgn val="ctr"/>
        <c:lblOffset val="100"/>
        <c:noMultiLvlLbl val="0"/>
      </c:catAx>
      <c:valAx>
        <c:axId val="38426529"/>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7243062"/>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Ergebnisanteile der vier Partner</a:t>
            </a:r>
          </a:p>
        </c:rich>
      </c:tx>
      <c:overlay val="0"/>
      <c:spPr>
        <a:noFill/>
        <a:ln w="0">
          <a:noFill/>
        </a:ln>
      </c:spPr>
    </c:title>
    <c:autoTitleDeleted val="0"/>
    <c:plotArea>
      <c:pieChart>
        <c:varyColors val="1"/>
        <c:ser>
          <c:idx val="0"/>
          <c:order val="0"/>
          <c:spPr>
            <a:solidFill>
              <a:srgbClr val="4f81bd"/>
            </a:solidFill>
            <a:ln w="0">
              <a:noFill/>
            </a:ln>
          </c:spPr>
          <c:explosion val="0"/>
          <c:dPt>
            <c:idx val="0"/>
            <c:spPr>
              <a:solidFill>
                <a:srgbClr val="4f81bd"/>
              </a:solidFill>
              <a:ln w="0">
                <a:noFill/>
              </a:ln>
            </c:spPr>
          </c:dPt>
          <c:dPt>
            <c:idx val="1"/>
            <c:spPr>
              <a:solidFill>
                <a:srgbClr val="c0504d"/>
              </a:solidFill>
              <a:ln w="0">
                <a:noFill/>
              </a:ln>
            </c:spPr>
          </c:dPt>
          <c:dPt>
            <c:idx val="2"/>
            <c:spPr>
              <a:solidFill>
                <a:srgbClr val="9bbb59"/>
              </a:solidFill>
              <a:ln w="0">
                <a:noFill/>
              </a:ln>
            </c:spPr>
          </c:dPt>
          <c:dPt>
            <c:idx val="3"/>
            <c:spPr>
              <a:solidFill>
                <a:srgbClr val="8064a2"/>
              </a:solidFill>
              <a:ln w="0">
                <a:noFill/>
              </a:ln>
            </c:spPr>
          </c:dPt>
          <c:dLbls>
            <c:dLbl>
              <c:idx val="0"/>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1"/>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2"/>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3"/>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showLeaderLines val="1"/>
          </c:dLbls>
          <c:cat>
            <c:strRef>
              <c:f>'12 Gewinnaufteilung'!$F$29:$I$29</c:f>
              <c:strCache>
                <c:ptCount val="4"/>
                <c:pt idx="0">
                  <c:v>Keller AG
Ziegeleien</c:v>
                </c:pt>
                <c:pt idx="1">
                  <c:v>Keller
Prefadom AG</c:v>
                </c:pt>
                <c:pt idx="2">
                  <c:v>Skyline
Properties GmbH</c:v>
                </c:pt>
                <c:pt idx="3">
                  <c:v>Urbanstreet AG
(Hüppi GU AG)</c:v>
                </c:pt>
              </c:strCache>
            </c:strRef>
          </c:cat>
          <c:val>
            <c:numRef>
              <c:f>'12 Gewinnaufteilung'!$F$36:$I$36</c:f>
              <c:numCache>
                <c:formatCode>#,##0;[RED]\-#,##0;\–</c:formatCode>
                <c:ptCount val="4"/>
                <c:pt idx="0">
                  <c:v>4616000</c:v>
                </c:pt>
                <c:pt idx="1">
                  <c:v>5384000</c:v>
                </c:pt>
                <c:pt idx="2">
                  <c:v>5200000</c:v>
                </c:pt>
                <c:pt idx="3">
                  <c:v>1200000</c:v>
                </c:pt>
              </c:numCache>
            </c:numRef>
          </c:val>
        </c:ser>
        <c:firstSliceAng val="0"/>
      </c:pieChart>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2.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_rels/drawing3.xml.rels><?xml version="1.0" encoding="UTF-8"?>
<Relationships xmlns="http://schemas.openxmlformats.org/package/2006/relationships"><Relationship Id="rId1" Type="http://schemas.openxmlformats.org/officeDocument/2006/relationships/chart" Target="../charts/chart3.xml"/>
</Relationships>
</file>

<file path=xl/drawings/_rels/drawing4.xml.rels><?xml version="1.0" encoding="UTF-8"?>
<Relationships xmlns="http://schemas.openxmlformats.org/package/2006/relationships"><Relationship Id="rId1" Type="http://schemas.openxmlformats.org/officeDocument/2006/relationships/chart" Target="../charts/chart4.xml"/>
</Relationships>
</file>

<file path=xl/drawings/_rels/drawing5.xml.rels><?xml version="1.0" encoding="UTF-8"?>
<Relationships xmlns="http://schemas.openxmlformats.org/package/2006/relationships"><Relationship Id="rId1" Type="http://schemas.openxmlformats.org/officeDocument/2006/relationships/chart" Target="../charts/chart5.xml"/>
</Relationships>
</file>

<file path=xl/drawings/_rels/drawing6.xml.rels><?xml version="1.0" encoding="UTF-8"?>
<Relationships xmlns="http://schemas.openxmlformats.org/package/2006/relationships"><Relationship Id="rId1" Type="http://schemas.openxmlformats.org/officeDocument/2006/relationships/chart" Target="../charts/chart6.xml"/>
</Relationships>
</file>

<file path=xl/drawings/_rels/drawing7.xml.rels><?xml version="1.0" encoding="UTF-8"?>
<Relationships xmlns="http://schemas.openxmlformats.org/package/2006/relationships"><Relationship Id="rId1" Type="http://schemas.openxmlformats.org/officeDocument/2006/relationships/chart" Target="../charts/chart7.xml"/>
</Relationships>
</file>

<file path=xl/drawings/_rels/drawing8.xml.rels><?xml version="1.0" encoding="UTF-8"?>
<Relationships xmlns="http://schemas.openxmlformats.org/package/2006/relationships"><Relationship Id="rId1" Type="http://schemas.openxmlformats.org/officeDocument/2006/relationships/chart" Target="../charts/chart8.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0</xdr:colOff>
      <xdr:row>7</xdr:row>
      <xdr:rowOff>0</xdr:rowOff>
    </xdr:from>
    <xdr:to>
      <xdr:col>23</xdr:col>
      <xdr:colOff>473040</xdr:colOff>
      <xdr:row>20</xdr:row>
      <xdr:rowOff>164160</xdr:rowOff>
    </xdr:to>
    <xdr:graphicFrame>
      <xdr:nvGraphicFramePr>
        <xdr:cNvPr id="0" name="Chart 1"/>
        <xdr:cNvGraphicFramePr/>
      </xdr:nvGraphicFramePr>
      <xdr:xfrm>
        <a:off x="12875760" y="1343160"/>
        <a:ext cx="7199640" cy="305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0</xdr:colOff>
      <xdr:row>26</xdr:row>
      <xdr:rowOff>0</xdr:rowOff>
    </xdr:from>
    <xdr:to>
      <xdr:col>18</xdr:col>
      <xdr:colOff>290520</xdr:colOff>
      <xdr:row>42</xdr:row>
      <xdr:rowOff>106920</xdr:rowOff>
    </xdr:to>
    <xdr:graphicFrame>
      <xdr:nvGraphicFramePr>
        <xdr:cNvPr id="1" name="Chart 2"/>
        <xdr:cNvGraphicFramePr/>
      </xdr:nvGraphicFramePr>
      <xdr:xfrm>
        <a:off x="12875760" y="5477040"/>
        <a:ext cx="3959640" cy="3059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15</xdr:row>
      <xdr:rowOff>0</xdr:rowOff>
    </xdr:from>
    <xdr:to>
      <xdr:col>6</xdr:col>
      <xdr:colOff>88200</xdr:colOff>
      <xdr:row>32</xdr:row>
      <xdr:rowOff>1080</xdr:rowOff>
    </xdr:to>
    <xdr:graphicFrame>
      <xdr:nvGraphicFramePr>
        <xdr:cNvPr id="2" name="Chart 1"/>
        <xdr:cNvGraphicFramePr/>
      </xdr:nvGraphicFramePr>
      <xdr:xfrm>
        <a:off x="281880" y="3095640"/>
        <a:ext cx="755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26</xdr:row>
      <xdr:rowOff>0</xdr:rowOff>
    </xdr:from>
    <xdr:to>
      <xdr:col>6</xdr:col>
      <xdr:colOff>433080</xdr:colOff>
      <xdr:row>39</xdr:row>
      <xdr:rowOff>43200</xdr:rowOff>
    </xdr:to>
    <xdr:graphicFrame>
      <xdr:nvGraphicFramePr>
        <xdr:cNvPr id="3" name="Chart 1"/>
        <xdr:cNvGraphicFramePr/>
      </xdr:nvGraphicFramePr>
      <xdr:xfrm>
        <a:off x="352440" y="5200560"/>
        <a:ext cx="7199640" cy="251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7</xdr:row>
      <xdr:rowOff>0</xdr:rowOff>
    </xdr:from>
    <xdr:to>
      <xdr:col>20</xdr:col>
      <xdr:colOff>4680</xdr:colOff>
      <xdr:row>19</xdr:row>
      <xdr:rowOff>109080</xdr:rowOff>
    </xdr:to>
    <xdr:graphicFrame>
      <xdr:nvGraphicFramePr>
        <xdr:cNvPr id="4" name="Chart 1"/>
        <xdr:cNvGraphicFramePr/>
      </xdr:nvGraphicFramePr>
      <xdr:xfrm>
        <a:off x="13016880" y="1343160"/>
        <a:ext cx="6119640" cy="269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42</xdr:row>
      <xdr:rowOff>0</xdr:rowOff>
    </xdr:from>
    <xdr:to>
      <xdr:col>7</xdr:col>
      <xdr:colOff>433080</xdr:colOff>
      <xdr:row>59</xdr:row>
      <xdr:rowOff>1080</xdr:rowOff>
    </xdr:to>
    <xdr:graphicFrame>
      <xdr:nvGraphicFramePr>
        <xdr:cNvPr id="5" name="Chart 1"/>
        <xdr:cNvGraphicFramePr/>
      </xdr:nvGraphicFramePr>
      <xdr:xfrm>
        <a:off x="281880" y="8715240"/>
        <a:ext cx="719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27</xdr:row>
      <xdr:rowOff>0</xdr:rowOff>
    </xdr:from>
    <xdr:to>
      <xdr:col>3</xdr:col>
      <xdr:colOff>1240920</xdr:colOff>
      <xdr:row>36</xdr:row>
      <xdr:rowOff>213840</xdr:rowOff>
    </xdr:to>
    <xdr:graphicFrame>
      <xdr:nvGraphicFramePr>
        <xdr:cNvPr id="6" name="Chart 1"/>
        <xdr:cNvGraphicFramePr/>
      </xdr:nvGraphicFramePr>
      <xdr:xfrm>
        <a:off x="281880" y="5419800"/>
        <a:ext cx="5399640" cy="269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9</xdr:row>
      <xdr:rowOff>0</xdr:rowOff>
    </xdr:from>
    <xdr:to>
      <xdr:col>17</xdr:col>
      <xdr:colOff>368640</xdr:colOff>
      <xdr:row>23</xdr:row>
      <xdr:rowOff>174600</xdr:rowOff>
    </xdr:to>
    <xdr:graphicFrame>
      <xdr:nvGraphicFramePr>
        <xdr:cNvPr id="7" name="Chart 1"/>
        <xdr:cNvGraphicFramePr/>
      </xdr:nvGraphicFramePr>
      <xdr:xfrm>
        <a:off x="11277720" y="1886040"/>
        <a:ext cx="4319640" cy="287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drawing" Target="../drawings/drawing6.xml"/>
</Relationships>
</file>

<file path=xl/worksheets/_rels/sheet11.xml.rels><?xml version="1.0" encoding="UTF-8"?>
<Relationships xmlns="http://schemas.openxmlformats.org/package/2006/relationships"><Relationship Id="rId1" Type="http://schemas.openxmlformats.org/officeDocument/2006/relationships/drawing" Target="../drawings/drawing7.xml"/>
</Relationships>
</file>

<file path=xl/worksheets/_rels/sheet13.xml.rels><?xml version="1.0" encoding="UTF-8"?>
<Relationships xmlns="http://schemas.openxmlformats.org/package/2006/relationships"><Relationship Id="rId1" Type="http://schemas.openxmlformats.org/officeDocument/2006/relationships/drawing" Target="../drawings/drawing8.xml"/>
</Relationships>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_rels/sheet5.xml.rels><?xml version="1.0" encoding="UTF-8"?>
<Relationships xmlns="http://schemas.openxmlformats.org/package/2006/relationships"><Relationship Id="rId1" Type="http://schemas.openxmlformats.org/officeDocument/2006/relationships/drawing" Target="../drawings/drawing2.xml"/>
</Relationships>
</file>

<file path=xl/worksheets/_rels/sheet6.xml.rels><?xml version="1.0" encoding="UTF-8"?>
<Relationships xmlns="http://schemas.openxmlformats.org/package/2006/relationships"><Relationship Id="rId1" Type="http://schemas.openxmlformats.org/officeDocument/2006/relationships/drawing" Target="../drawings/drawing3.xml"/>
</Relationships>
</file>

<file path=xl/worksheets/_rels/sheet7.xml.rels><?xml version="1.0" encoding="UTF-8"?>
<Relationships xmlns="http://schemas.openxmlformats.org/package/2006/relationships"><Relationship Id="rId1" Type="http://schemas.openxmlformats.org/officeDocument/2006/relationships/drawing" Target="../drawings/drawing4.xml"/>
</Relationships>
</file>

<file path=xl/worksheets/_rels/sheet9.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E3234"/>
    <pageSetUpPr fitToPage="true"/>
  </sheetPr>
  <dimension ref="A1:H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7" min="3" style="0" width="20"/>
    <col collapsed="false" customWidth="true" hidden="false" outlineLevel="0" max="8" min="8" style="0" width="26"/>
  </cols>
  <sheetData>
    <row r="1" customFormat="false" ht="13.5" hidden="false" customHeight="true" outlineLevel="0" collapsed="false">
      <c r="A1" s="1" t="s">
        <v>0</v>
      </c>
      <c r="B1" s="2"/>
      <c r="C1" s="2"/>
      <c r="D1" s="2"/>
      <c r="E1" s="2"/>
      <c r="F1" s="2"/>
      <c r="G1" s="2"/>
      <c r="H1" s="2"/>
    </row>
    <row r="2" customFormat="false" ht="24" hidden="false" customHeight="true" outlineLevel="0" collapsed="false">
      <c r="A2" s="3" t="s">
        <v>1</v>
      </c>
      <c r="B2" s="2"/>
      <c r="C2" s="2"/>
      <c r="D2" s="2"/>
      <c r="E2" s="2"/>
      <c r="F2" s="2"/>
      <c r="G2" s="2"/>
      <c r="H2" s="2"/>
    </row>
    <row r="3" customFormat="false" ht="15.75" hidden="false" customHeight="true" outlineLevel="0" collapsed="false">
      <c r="A3" s="4" t="s">
        <v>2</v>
      </c>
      <c r="B3" s="2"/>
      <c r="C3" s="2"/>
      <c r="D3" s="2"/>
      <c r="E3" s="2"/>
      <c r="F3" s="2"/>
      <c r="G3" s="2"/>
      <c r="H3" s="2"/>
    </row>
    <row r="4" customFormat="false" ht="7.5" hidden="false" customHeight="true" outlineLevel="0" collapsed="false"/>
    <row r="6" customFormat="false" ht="15" hidden="false" customHeight="false" outlineLevel="0" collapsed="false">
      <c r="B6" s="5" t="s">
        <v>3</v>
      </c>
    </row>
    <row r="7" customFormat="false" ht="15" hidden="false" customHeight="true" outlineLevel="0" collapsed="false">
      <c r="B7" s="6" t="s">
        <v>4</v>
      </c>
      <c r="C7" s="6"/>
      <c r="D7" s="6"/>
      <c r="E7" s="6"/>
      <c r="F7" s="6"/>
      <c r="G7" s="6"/>
      <c r="H7" s="6"/>
    </row>
    <row r="8" customFormat="false" ht="15" hidden="false" customHeight="true" outlineLevel="0" collapsed="false">
      <c r="B8" s="6"/>
      <c r="C8" s="6"/>
      <c r="D8" s="6"/>
      <c r="E8" s="6"/>
      <c r="F8" s="6"/>
      <c r="G8" s="6"/>
      <c r="H8" s="6"/>
    </row>
    <row r="9" customFormat="false" ht="15" hidden="false" customHeight="true" outlineLevel="0" collapsed="false">
      <c r="B9" s="6"/>
      <c r="C9" s="6"/>
      <c r="D9" s="6"/>
      <c r="E9" s="6"/>
      <c r="F9" s="6"/>
      <c r="G9" s="6"/>
      <c r="H9" s="6"/>
    </row>
    <row r="10" customFormat="false" ht="15" hidden="false" customHeight="true" outlineLevel="0" collapsed="false">
      <c r="B10" s="6"/>
      <c r="C10" s="6"/>
      <c r="D10" s="6"/>
      <c r="E10" s="6"/>
      <c r="F10" s="6"/>
      <c r="G10" s="6"/>
      <c r="H10" s="6"/>
    </row>
    <row r="12" customFormat="false" ht="18" hidden="false" customHeight="true" outlineLevel="0" collapsed="false">
      <c r="A12" s="7" t="s">
        <v>5</v>
      </c>
      <c r="B12" s="8"/>
      <c r="C12" s="8"/>
      <c r="D12" s="8"/>
      <c r="E12" s="8"/>
      <c r="F12" s="8"/>
      <c r="G12" s="8"/>
      <c r="H12" s="8"/>
    </row>
    <row r="13" customFormat="false" ht="16.5" hidden="false" customHeight="true" outlineLevel="0" collapsed="false">
      <c r="B13" s="9" t="s">
        <v>6</v>
      </c>
      <c r="C13" s="10" t="s">
        <v>7</v>
      </c>
      <c r="D13" s="10"/>
      <c r="E13" s="10"/>
      <c r="F13" s="10"/>
      <c r="G13" s="10"/>
      <c r="H13" s="10"/>
    </row>
    <row r="14" customFormat="false" ht="16.5" hidden="false" customHeight="true" outlineLevel="0" collapsed="false">
      <c r="B14" s="9" t="s">
        <v>8</v>
      </c>
      <c r="C14" s="10" t="s">
        <v>9</v>
      </c>
      <c r="D14" s="10"/>
      <c r="E14" s="10"/>
      <c r="F14" s="10"/>
      <c r="G14" s="10"/>
      <c r="H14" s="10"/>
    </row>
    <row r="15" customFormat="false" ht="16.5" hidden="false" customHeight="true" outlineLevel="0" collapsed="false">
      <c r="B15" s="9" t="s">
        <v>10</v>
      </c>
      <c r="C15" s="10" t="s">
        <v>11</v>
      </c>
      <c r="D15" s="10"/>
      <c r="E15" s="10"/>
      <c r="F15" s="10"/>
      <c r="G15" s="10"/>
      <c r="H15" s="10"/>
    </row>
    <row r="16" customFormat="false" ht="16.5" hidden="false" customHeight="true" outlineLevel="0" collapsed="false">
      <c r="B16" s="9" t="s">
        <v>12</v>
      </c>
      <c r="C16" s="10" t="s">
        <v>13</v>
      </c>
      <c r="D16" s="10"/>
      <c r="E16" s="10"/>
      <c r="F16" s="10"/>
      <c r="G16" s="10"/>
      <c r="H16" s="10"/>
    </row>
    <row r="17" customFormat="false" ht="16.5" hidden="false" customHeight="true" outlineLevel="0" collapsed="false">
      <c r="B17" s="9" t="s">
        <v>14</v>
      </c>
      <c r="C17" s="10" t="s">
        <v>15</v>
      </c>
      <c r="D17" s="10"/>
      <c r="E17" s="10"/>
      <c r="F17" s="10"/>
      <c r="G17" s="10"/>
      <c r="H17" s="10"/>
    </row>
    <row r="18" customFormat="false" ht="16.5" hidden="false" customHeight="true" outlineLevel="0" collapsed="false">
      <c r="B18" s="9" t="s">
        <v>16</v>
      </c>
      <c r="C18" s="10" t="s">
        <v>17</v>
      </c>
      <c r="D18" s="10"/>
      <c r="E18" s="10"/>
      <c r="F18" s="10"/>
      <c r="G18" s="10"/>
      <c r="H18" s="10"/>
    </row>
    <row r="19" customFormat="false" ht="16.5" hidden="false" customHeight="true" outlineLevel="0" collapsed="false">
      <c r="B19" s="9" t="s">
        <v>18</v>
      </c>
      <c r="C19" s="10" t="s">
        <v>19</v>
      </c>
      <c r="D19" s="10"/>
      <c r="E19" s="10"/>
      <c r="F19" s="10"/>
      <c r="G19" s="10"/>
      <c r="H19" s="10"/>
    </row>
    <row r="20" customFormat="false" ht="16.5" hidden="false" customHeight="true" outlineLevel="0" collapsed="false">
      <c r="B20" s="9" t="s">
        <v>20</v>
      </c>
      <c r="C20" s="10" t="s">
        <v>21</v>
      </c>
      <c r="D20" s="10"/>
      <c r="E20" s="10"/>
      <c r="F20" s="10"/>
      <c r="G20" s="10"/>
      <c r="H20" s="10"/>
    </row>
    <row r="22" customFormat="false" ht="18" hidden="false" customHeight="true" outlineLevel="0" collapsed="false">
      <c r="A22" s="7" t="s">
        <v>22</v>
      </c>
      <c r="B22" s="8"/>
      <c r="C22" s="8"/>
      <c r="D22" s="8"/>
      <c r="E22" s="8"/>
      <c r="F22" s="8"/>
      <c r="G22" s="8"/>
      <c r="H22" s="8"/>
    </row>
    <row r="23" customFormat="false" ht="13.5" hidden="false" customHeight="true" outlineLevel="0" collapsed="false">
      <c r="B23" s="11" t="s">
        <v>23</v>
      </c>
      <c r="C23" s="12" t="s">
        <v>24</v>
      </c>
      <c r="D23" s="12"/>
      <c r="E23" s="12"/>
      <c r="F23" s="12"/>
      <c r="G23" s="12"/>
      <c r="H23" s="12"/>
    </row>
    <row r="24" customFormat="false" ht="13.5" hidden="false" customHeight="true" outlineLevel="0" collapsed="false">
      <c r="B24" s="11" t="s">
        <v>25</v>
      </c>
      <c r="C24" s="12" t="s">
        <v>26</v>
      </c>
      <c r="D24" s="12"/>
      <c r="E24" s="12"/>
      <c r="F24" s="12"/>
      <c r="G24" s="12"/>
      <c r="H24" s="12"/>
    </row>
    <row r="25" customFormat="false" ht="13.5" hidden="false" customHeight="true" outlineLevel="0" collapsed="false">
      <c r="B25" s="11" t="s">
        <v>27</v>
      </c>
      <c r="C25" s="12" t="s">
        <v>28</v>
      </c>
      <c r="D25" s="12"/>
      <c r="E25" s="12"/>
      <c r="F25" s="12"/>
      <c r="G25" s="12"/>
      <c r="H25" s="12"/>
    </row>
    <row r="26" customFormat="false" ht="13.5" hidden="false" customHeight="true" outlineLevel="0" collapsed="false">
      <c r="B26" s="11" t="s">
        <v>29</v>
      </c>
      <c r="C26" s="12" t="s">
        <v>30</v>
      </c>
      <c r="D26" s="12"/>
      <c r="E26" s="12"/>
      <c r="F26" s="12"/>
      <c r="G26" s="12"/>
      <c r="H26" s="12"/>
    </row>
    <row r="27" customFormat="false" ht="13.5" hidden="false" customHeight="true" outlineLevel="0" collapsed="false">
      <c r="B27" s="11" t="s">
        <v>31</v>
      </c>
      <c r="C27" s="12" t="s">
        <v>32</v>
      </c>
      <c r="D27" s="12"/>
      <c r="E27" s="12"/>
      <c r="F27" s="12"/>
      <c r="G27" s="12"/>
      <c r="H27" s="12"/>
    </row>
    <row r="28" customFormat="false" ht="13.5" hidden="false" customHeight="true" outlineLevel="0" collapsed="false">
      <c r="B28" s="11" t="s">
        <v>33</v>
      </c>
      <c r="C28" s="12" t="s">
        <v>34</v>
      </c>
      <c r="D28" s="12"/>
      <c r="E28" s="12"/>
      <c r="F28" s="12"/>
      <c r="G28" s="12"/>
      <c r="H28" s="12"/>
    </row>
    <row r="29" customFormat="false" ht="13.5" hidden="false" customHeight="true" outlineLevel="0" collapsed="false">
      <c r="B29" s="11" t="s">
        <v>35</v>
      </c>
      <c r="C29" s="12" t="s">
        <v>36</v>
      </c>
      <c r="D29" s="12"/>
      <c r="E29" s="12"/>
      <c r="F29" s="12"/>
      <c r="G29" s="12"/>
      <c r="H29" s="12"/>
    </row>
    <row r="30" customFormat="false" ht="13.5" hidden="false" customHeight="true" outlineLevel="0" collapsed="false">
      <c r="B30" s="11" t="s">
        <v>37</v>
      </c>
      <c r="C30" s="12" t="s">
        <v>38</v>
      </c>
      <c r="D30" s="12"/>
      <c r="E30" s="12"/>
      <c r="F30" s="12"/>
      <c r="G30" s="12"/>
      <c r="H30" s="12"/>
    </row>
    <row r="31" customFormat="false" ht="13.5" hidden="false" customHeight="true" outlineLevel="0" collapsed="false">
      <c r="B31" s="11" t="s">
        <v>39</v>
      </c>
      <c r="C31" s="12" t="s">
        <v>40</v>
      </c>
      <c r="D31" s="12"/>
      <c r="E31" s="12"/>
      <c r="F31" s="12"/>
      <c r="G31" s="12"/>
      <c r="H31" s="12"/>
    </row>
    <row r="32" customFormat="false" ht="13.5" hidden="false" customHeight="true" outlineLevel="0" collapsed="false">
      <c r="B32" s="11" t="s">
        <v>41</v>
      </c>
      <c r="C32" s="12" t="s">
        <v>42</v>
      </c>
      <c r="D32" s="12"/>
      <c r="E32" s="12"/>
      <c r="F32" s="12"/>
      <c r="G32" s="12"/>
      <c r="H32" s="12"/>
    </row>
    <row r="33" customFormat="false" ht="13.5" hidden="false" customHeight="true" outlineLevel="0" collapsed="false">
      <c r="B33" s="11" t="s">
        <v>43</v>
      </c>
      <c r="C33" s="12" t="s">
        <v>44</v>
      </c>
      <c r="D33" s="12"/>
      <c r="E33" s="12"/>
      <c r="F33" s="12"/>
      <c r="G33" s="12"/>
      <c r="H33" s="12"/>
    </row>
    <row r="34" customFormat="false" ht="13.5" hidden="false" customHeight="true" outlineLevel="0" collapsed="false">
      <c r="B34" s="11" t="s">
        <v>45</v>
      </c>
      <c r="C34" s="12" t="s">
        <v>46</v>
      </c>
      <c r="D34" s="12"/>
      <c r="E34" s="12"/>
      <c r="F34" s="12"/>
      <c r="G34" s="12"/>
      <c r="H34" s="12"/>
    </row>
    <row r="35" customFormat="false" ht="13.5" hidden="false" customHeight="true" outlineLevel="0" collapsed="false">
      <c r="B35" s="11" t="s">
        <v>47</v>
      </c>
      <c r="C35" s="12" t="s">
        <v>48</v>
      </c>
      <c r="D35" s="12"/>
      <c r="E35" s="12"/>
      <c r="F35" s="12"/>
      <c r="G35" s="12"/>
      <c r="H35" s="12"/>
    </row>
    <row r="36" customFormat="false" ht="13.5" hidden="false" customHeight="true" outlineLevel="0" collapsed="false">
      <c r="B36" s="11" t="s">
        <v>49</v>
      </c>
      <c r="C36" s="12" t="s">
        <v>50</v>
      </c>
      <c r="D36" s="12"/>
      <c r="E36" s="12"/>
      <c r="F36" s="12"/>
      <c r="G36" s="12"/>
      <c r="H36" s="12"/>
    </row>
    <row r="37" customFormat="false" ht="13.5" hidden="false" customHeight="true" outlineLevel="0" collapsed="false">
      <c r="B37" s="11" t="s">
        <v>51</v>
      </c>
      <c r="C37" s="12" t="s">
        <v>52</v>
      </c>
      <c r="D37" s="12"/>
      <c r="E37" s="12"/>
      <c r="F37" s="12"/>
      <c r="G37" s="12"/>
      <c r="H37" s="12"/>
    </row>
    <row r="39" customFormat="false" ht="18" hidden="false" customHeight="true" outlineLevel="0" collapsed="false">
      <c r="A39" s="7" t="s">
        <v>53</v>
      </c>
      <c r="B39" s="8"/>
      <c r="C39" s="8"/>
      <c r="D39" s="8"/>
      <c r="E39" s="8"/>
      <c r="F39" s="8"/>
      <c r="G39" s="8"/>
      <c r="H39" s="8"/>
    </row>
    <row r="40" customFormat="false" ht="18.75" hidden="false" customHeight="true" outlineLevel="0" collapsed="false">
      <c r="B40" s="13" t="s">
        <v>54</v>
      </c>
      <c r="C40" s="13"/>
      <c r="D40" s="13"/>
      <c r="E40" s="13"/>
      <c r="F40" s="13"/>
      <c r="G40" s="13"/>
      <c r="H40" s="13"/>
    </row>
    <row r="41" customFormat="false" ht="18.75" hidden="false" customHeight="true" outlineLevel="0" collapsed="false">
      <c r="B41" s="13"/>
      <c r="C41" s="13"/>
      <c r="D41" s="13"/>
      <c r="E41" s="13"/>
      <c r="F41" s="13"/>
      <c r="G41" s="13"/>
      <c r="H41" s="13"/>
    </row>
    <row r="42" customFormat="false" ht="18.75" hidden="false" customHeight="true" outlineLevel="0" collapsed="false">
      <c r="B42" s="13"/>
      <c r="C42" s="13"/>
      <c r="D42" s="13"/>
      <c r="E42" s="13"/>
      <c r="F42" s="13"/>
      <c r="G42" s="13"/>
      <c r="H42" s="13"/>
    </row>
    <row r="43" customFormat="false" ht="18.75" hidden="false" customHeight="true" outlineLevel="0" collapsed="false">
      <c r="B43" s="13"/>
      <c r="C43" s="13"/>
      <c r="D43" s="13"/>
      <c r="E43" s="13"/>
      <c r="F43" s="13"/>
      <c r="G43" s="13"/>
      <c r="H43" s="13"/>
    </row>
    <row r="44" customFormat="false" ht="18.75" hidden="false" customHeight="true" outlineLevel="0" collapsed="false">
      <c r="B44" s="13"/>
      <c r="C44" s="13"/>
      <c r="D44" s="13"/>
      <c r="E44" s="13"/>
      <c r="F44" s="13"/>
      <c r="G44" s="13"/>
      <c r="H44" s="13"/>
    </row>
    <row r="45" customFormat="false" ht="18.75" hidden="false" customHeight="true" outlineLevel="0" collapsed="false">
      <c r="B45" s="13"/>
      <c r="C45" s="13"/>
      <c r="D45" s="13"/>
      <c r="E45" s="13"/>
      <c r="F45" s="13"/>
      <c r="G45" s="13"/>
      <c r="H45" s="13"/>
    </row>
    <row r="47" customFormat="false" ht="15" hidden="false" customHeight="false" outlineLevel="0" collapsed="false">
      <c r="B47" s="14" t="s">
        <v>55</v>
      </c>
      <c r="C47" s="14" t="s">
        <v>56</v>
      </c>
    </row>
    <row r="48" customFormat="false" ht="15" hidden="false" customHeight="false" outlineLevel="0" collapsed="false">
      <c r="B48" s="14" t="s">
        <v>57</v>
      </c>
      <c r="C48" s="15" t="s">
        <v>58</v>
      </c>
    </row>
  </sheetData>
  <mergeCells count="25">
    <mergeCell ref="B7:H10"/>
    <mergeCell ref="C13:H13"/>
    <mergeCell ref="C14:H14"/>
    <mergeCell ref="C15:H15"/>
    <mergeCell ref="C16:H16"/>
    <mergeCell ref="C17:H17"/>
    <mergeCell ref="C18:H18"/>
    <mergeCell ref="C19:H19"/>
    <mergeCell ref="C20:H20"/>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B40:H45"/>
  </mergeCells>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18726"/>
    <pageSetUpPr fitToPage="true"/>
  </sheetPr>
  <dimension ref="A1:L6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26"/>
    <col collapsed="false" customWidth="true" hidden="false" outlineLevel="0" max="9" min="3" style="0" width="14"/>
    <col collapsed="false" customWidth="true" hidden="false" outlineLevel="0" max="12" min="10" style="0" width="4"/>
  </cols>
  <sheetData>
    <row r="1" customFormat="false" ht="13.5" hidden="false" customHeight="true" outlineLevel="0" collapsed="false">
      <c r="A1" s="1" t="s">
        <v>0</v>
      </c>
      <c r="B1" s="2"/>
      <c r="C1" s="2"/>
      <c r="D1" s="2"/>
      <c r="E1" s="2"/>
      <c r="F1" s="2"/>
      <c r="G1" s="2"/>
      <c r="H1" s="2"/>
      <c r="I1" s="2"/>
      <c r="J1" s="2"/>
      <c r="K1" s="2"/>
      <c r="L1" s="2"/>
    </row>
    <row r="2" customFormat="false" ht="24" hidden="false" customHeight="true" outlineLevel="0" collapsed="false">
      <c r="A2" s="3" t="s">
        <v>768</v>
      </c>
      <c r="B2" s="2"/>
      <c r="C2" s="2"/>
      <c r="D2" s="2"/>
      <c r="E2" s="2"/>
      <c r="F2" s="2"/>
      <c r="G2" s="2"/>
      <c r="H2" s="2"/>
      <c r="I2" s="2"/>
      <c r="J2" s="2"/>
      <c r="K2" s="2"/>
      <c r="L2" s="2"/>
    </row>
    <row r="3" customFormat="false" ht="15.75" hidden="false" customHeight="true" outlineLevel="0" collapsed="false">
      <c r="A3" s="4" t="s">
        <v>769</v>
      </c>
      <c r="B3" s="2"/>
      <c r="C3" s="2"/>
      <c r="D3" s="2"/>
      <c r="E3" s="2"/>
      <c r="F3" s="2"/>
      <c r="G3" s="2"/>
      <c r="H3" s="2"/>
      <c r="I3" s="2"/>
      <c r="J3" s="2"/>
      <c r="K3" s="2"/>
      <c r="L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770</v>
      </c>
      <c r="B7" s="8"/>
      <c r="C7" s="8"/>
      <c r="D7" s="8"/>
      <c r="E7" s="8"/>
      <c r="F7" s="8"/>
      <c r="G7" s="8"/>
      <c r="H7" s="8"/>
      <c r="I7" s="8"/>
      <c r="J7" s="8"/>
      <c r="K7" s="8"/>
      <c r="L7" s="8"/>
    </row>
    <row r="9" customFormat="false" ht="31.5" hidden="false" customHeight="true" outlineLevel="0" collapsed="false">
      <c r="B9" s="161" t="s">
        <v>771</v>
      </c>
      <c r="C9" s="162" t="n">
        <v>-0.1</v>
      </c>
      <c r="D9" s="162" t="n">
        <v>-0.05</v>
      </c>
      <c r="E9" s="162" t="n">
        <v>0</v>
      </c>
      <c r="F9" s="162" t="n">
        <v>0.05</v>
      </c>
      <c r="G9" s="162" t="n">
        <v>0.1</v>
      </c>
      <c r="H9" s="162" t="n">
        <v>0.15</v>
      </c>
    </row>
    <row r="10" customFormat="false" ht="15" hidden="false" customHeight="true" outlineLevel="0" collapsed="false">
      <c r="B10" s="163" t="n">
        <v>0.035</v>
      </c>
      <c r="C10" s="164" t="n">
        <f aca="false">'08 Ertrag &amp; Rendite'!G22/$B10*(1-'02 Annahmen'!C52)-'08 Ertrag &amp; Rendite'!G25*(1+C$9)</f>
        <v>24746028.0394286</v>
      </c>
      <c r="D10" s="164" t="n">
        <f aca="false">'08 Ertrag &amp; Rendite'!G22/$B10*(1-'02 Annahmen'!C52)-'08 Ertrag &amp; Rendite'!G25*(1+D$9)</f>
        <v>20979238.5394286</v>
      </c>
      <c r="E10" s="164" t="n">
        <f aca="false">'08 Ertrag &amp; Rendite'!G22/$B10*(1-'02 Annahmen'!C52)-'08 Ertrag &amp; Rendite'!G25*(1+E$9)</f>
        <v>17212449.0394286</v>
      </c>
      <c r="F10" s="164" t="n">
        <f aca="false">'08 Ertrag &amp; Rendite'!G22/$B10*(1-'02 Annahmen'!C52)-'08 Ertrag &amp; Rendite'!G25*(1+F$9)</f>
        <v>13445659.5394286</v>
      </c>
      <c r="G10" s="164" t="n">
        <f aca="false">'08 Ertrag &amp; Rendite'!G22/$B10*(1-'02 Annahmen'!C52)-'08 Ertrag &amp; Rendite'!G25*(1+G$9)</f>
        <v>9678870.03942856</v>
      </c>
      <c r="H10" s="164" t="n">
        <f aca="false">'08 Ertrag &amp; Rendite'!G22/$B10*(1-'02 Annahmen'!C52)-'08 Ertrag &amp; Rendite'!G25*(1+H$9)</f>
        <v>5912080.53942856</v>
      </c>
    </row>
    <row r="11" customFormat="false" ht="15" hidden="false" customHeight="true" outlineLevel="0" collapsed="false">
      <c r="B11" s="163" t="n">
        <v>0.0375</v>
      </c>
      <c r="C11" s="164" t="n">
        <f aca="false">'08 Ertrag &amp; Rendite'!G22/$B11*(1-'02 Annahmen'!C52)-'08 Ertrag &amp; Rendite'!G25*(1+C$9)</f>
        <v>18576145.4368</v>
      </c>
      <c r="D11" s="164" t="n">
        <f aca="false">'08 Ertrag &amp; Rendite'!G22/$B11*(1-'02 Annahmen'!C52)-'08 Ertrag &amp; Rendite'!G25*(1+D$9)</f>
        <v>14809355.9368</v>
      </c>
      <c r="E11" s="164" t="n">
        <f aca="false">'08 Ertrag &amp; Rendite'!G22/$B11*(1-'02 Annahmen'!C52)-'08 Ertrag &amp; Rendite'!G25*(1+E$9)</f>
        <v>11042566.4368</v>
      </c>
      <c r="F11" s="164" t="n">
        <f aca="false">'08 Ertrag &amp; Rendite'!G22/$B11*(1-'02 Annahmen'!C52)-'08 Ertrag &amp; Rendite'!G25*(1+F$9)</f>
        <v>7275776.9368</v>
      </c>
      <c r="G11" s="164" t="n">
        <f aca="false">'08 Ertrag &amp; Rendite'!G22/$B11*(1-'02 Annahmen'!C52)-'08 Ertrag &amp; Rendite'!G25*(1+G$9)</f>
        <v>3508987.4368</v>
      </c>
      <c r="H11" s="164" t="n">
        <f aca="false">'08 Ertrag &amp; Rendite'!G22/$B11*(1-'02 Annahmen'!C52)-'08 Ertrag &amp; Rendite'!G25*(1+H$9)</f>
        <v>-257802.063199997</v>
      </c>
    </row>
    <row r="12" customFormat="false" ht="15" hidden="false" customHeight="true" outlineLevel="0" collapsed="false">
      <c r="B12" s="163" t="n">
        <v>0.04</v>
      </c>
      <c r="C12" s="164" t="n">
        <f aca="false">'08 Ertrag &amp; Rendite'!G22/$B12*(1-'02 Annahmen'!C52)-'08 Ertrag &amp; Rendite'!G25*(1+C$9)</f>
        <v>13177498.1595</v>
      </c>
      <c r="D12" s="164" t="n">
        <f aca="false">'08 Ertrag &amp; Rendite'!G22/$B12*(1-'02 Annahmen'!C52)-'08 Ertrag &amp; Rendite'!G25*(1+D$9)</f>
        <v>9410708.6595</v>
      </c>
      <c r="E12" s="164" t="n">
        <f aca="false">'08 Ertrag &amp; Rendite'!G22/$B12*(1-'02 Annahmen'!C52)-'08 Ertrag &amp; Rendite'!G25*(1+E$9)</f>
        <v>5643919.1595</v>
      </c>
      <c r="F12" s="164" t="n">
        <f aca="false">'08 Ertrag &amp; Rendite'!G22/$B12*(1-'02 Annahmen'!C52)-'08 Ertrag &amp; Rendite'!G25*(1+F$9)</f>
        <v>1877129.6595</v>
      </c>
      <c r="G12" s="164" t="n">
        <f aca="false">'08 Ertrag &amp; Rendite'!G22/$B12*(1-'02 Annahmen'!C52)-'08 Ertrag &amp; Rendite'!G25*(1+G$9)</f>
        <v>-1889659.8405</v>
      </c>
      <c r="H12" s="164" t="n">
        <f aca="false">'08 Ertrag &amp; Rendite'!G22/$B12*(1-'02 Annahmen'!C52)-'08 Ertrag &amp; Rendite'!G25*(1+H$9)</f>
        <v>-5656449.3405</v>
      </c>
    </row>
    <row r="13" customFormat="false" ht="15" hidden="false" customHeight="true" outlineLevel="0" collapsed="false">
      <c r="B13" s="163" t="n">
        <v>0.0425</v>
      </c>
      <c r="C13" s="164" t="n">
        <f aca="false">'08 Ertrag &amp; Rendite'!G22/$B13*(1-'02 Annahmen'!C52)-'08 Ertrag &amp; Rendite'!G25*(1+C$9)</f>
        <v>8413985.85599999</v>
      </c>
      <c r="D13" s="164" t="n">
        <f aca="false">'08 Ertrag &amp; Rendite'!G22/$B13*(1-'02 Annahmen'!C52)-'08 Ertrag &amp; Rendite'!G25*(1+D$9)</f>
        <v>4647196.35599999</v>
      </c>
      <c r="E13" s="164" t="n">
        <f aca="false">'08 Ertrag &amp; Rendite'!G22/$B13*(1-'02 Annahmen'!C52)-'08 Ertrag &amp; Rendite'!G25*(1+E$9)</f>
        <v>880406.855999991</v>
      </c>
      <c r="F13" s="164" t="n">
        <f aca="false">'08 Ertrag &amp; Rendite'!G22/$B13*(1-'02 Annahmen'!C52)-'08 Ertrag &amp; Rendite'!G25*(1+F$9)</f>
        <v>-2886382.64400001</v>
      </c>
      <c r="G13" s="164" t="n">
        <f aca="false">'08 Ertrag &amp; Rendite'!G22/$B13*(1-'02 Annahmen'!C52)-'08 Ertrag &amp; Rendite'!G25*(1+G$9)</f>
        <v>-6653172.14400001</v>
      </c>
      <c r="H13" s="164" t="n">
        <f aca="false">'08 Ertrag &amp; Rendite'!G22/$B13*(1-'02 Annahmen'!C52)-'08 Ertrag &amp; Rendite'!G25*(1+H$9)</f>
        <v>-10419961.644</v>
      </c>
    </row>
    <row r="14" customFormat="false" ht="15" hidden="false" customHeight="true" outlineLevel="0" collapsed="false">
      <c r="B14" s="163" t="n">
        <v>0.045</v>
      </c>
      <c r="C14" s="164" t="n">
        <f aca="false">'08 Ertrag &amp; Rendite'!G22/$B14*(1-'02 Annahmen'!C52)-'08 Ertrag &amp; Rendite'!G25*(1+C$9)</f>
        <v>4179752.69733334</v>
      </c>
      <c r="D14" s="164" t="n">
        <f aca="false">'08 Ertrag &amp; Rendite'!G22/$B14*(1-'02 Annahmen'!C52)-'08 Ertrag &amp; Rendite'!G25*(1+D$9)</f>
        <v>412963.197333336</v>
      </c>
      <c r="E14" s="164" t="n">
        <f aca="false">'08 Ertrag &amp; Rendite'!G22/$B14*(1-'02 Annahmen'!C52)-'08 Ertrag &amp; Rendite'!G25*(1+E$9)</f>
        <v>-3353826.30266666</v>
      </c>
      <c r="F14" s="164" t="n">
        <f aca="false">'08 Ertrag &amp; Rendite'!G22/$B14*(1-'02 Annahmen'!C52)-'08 Ertrag &amp; Rendite'!G25*(1+F$9)</f>
        <v>-7120615.80266666</v>
      </c>
      <c r="G14" s="164" t="n">
        <f aca="false">'08 Ertrag &amp; Rendite'!G22/$B14*(1-'02 Annahmen'!C52)-'08 Ertrag &amp; Rendite'!G25*(1+G$9)</f>
        <v>-10887405.3026667</v>
      </c>
      <c r="H14" s="164" t="n">
        <f aca="false">'08 Ertrag &amp; Rendite'!G22/$B14*(1-'02 Annahmen'!C52)-'08 Ertrag &amp; Rendite'!G25*(1+H$9)</f>
        <v>-14654194.8026667</v>
      </c>
    </row>
    <row r="15" customFormat="false" ht="15" hidden="false" customHeight="true" outlineLevel="0" collapsed="false">
      <c r="B15" s="163" t="n">
        <v>0.0475</v>
      </c>
      <c r="C15" s="164" t="n">
        <f aca="false">'08 Ertrag &amp; Rendite'!G22/$B15*(1-'02 Annahmen'!C52)-'08 Ertrag &amp; Rendite'!G25*(1+C$9)</f>
        <v>391228.292210534</v>
      </c>
      <c r="D15" s="164" t="n">
        <f aca="false">'08 Ertrag &amp; Rendite'!G22/$B15*(1-'02 Annahmen'!C52)-'08 Ertrag &amp; Rendite'!G25*(1+D$9)</f>
        <v>-3375561.20778947</v>
      </c>
      <c r="E15" s="164" t="n">
        <f aca="false">'08 Ertrag &amp; Rendite'!G22/$B15*(1-'02 Annahmen'!C52)-'08 Ertrag &amp; Rendite'!G25*(1+E$9)</f>
        <v>-7142350.70778947</v>
      </c>
      <c r="F15" s="164" t="n">
        <f aca="false">'08 Ertrag &amp; Rendite'!G22/$B15*(1-'02 Annahmen'!C52)-'08 Ertrag &amp; Rendite'!G25*(1+F$9)</f>
        <v>-10909140.2077895</v>
      </c>
      <c r="G15" s="164" t="n">
        <f aca="false">'08 Ertrag &amp; Rendite'!G22/$B15*(1-'02 Annahmen'!C52)-'08 Ertrag &amp; Rendite'!G25*(1+G$9)</f>
        <v>-14675929.7077895</v>
      </c>
      <c r="H15" s="164" t="n">
        <f aca="false">'08 Ertrag &amp; Rendite'!G22/$B15*(1-'02 Annahmen'!C52)-'08 Ertrag &amp; Rendite'!G25*(1+H$9)</f>
        <v>-18442719.2077895</v>
      </c>
    </row>
    <row r="16" customFormat="false" ht="15" hidden="false" customHeight="true" outlineLevel="0" collapsed="false">
      <c r="B16" s="163" t="n">
        <v>0.05</v>
      </c>
      <c r="C16" s="164" t="n">
        <f aca="false">'08 Ertrag &amp; Rendite'!G22/$B16*(1-'02 Annahmen'!C52)-'08 Ertrag &amp; Rendite'!G25*(1+C$9)</f>
        <v>-3018443.67240001</v>
      </c>
      <c r="D16" s="164" t="n">
        <f aca="false">'08 Ertrag &amp; Rendite'!G22/$B16*(1-'02 Annahmen'!C52)-'08 Ertrag &amp; Rendite'!G25*(1+D$9)</f>
        <v>-6785233.17240001</v>
      </c>
      <c r="E16" s="164" t="n">
        <f aca="false">'08 Ertrag &amp; Rendite'!G22/$B16*(1-'02 Annahmen'!C52)-'08 Ertrag &amp; Rendite'!G25*(1+E$9)</f>
        <v>-10552022.6724</v>
      </c>
      <c r="F16" s="164" t="n">
        <f aca="false">'08 Ertrag &amp; Rendite'!G22/$B16*(1-'02 Annahmen'!C52)-'08 Ertrag &amp; Rendite'!G25*(1+F$9)</f>
        <v>-14318812.1724</v>
      </c>
      <c r="G16" s="164" t="n">
        <f aca="false">'08 Ertrag &amp; Rendite'!G22/$B16*(1-'02 Annahmen'!C52)-'08 Ertrag &amp; Rendite'!G25*(1+G$9)</f>
        <v>-18085601.6724</v>
      </c>
      <c r="H16" s="164" t="n">
        <f aca="false">'08 Ertrag &amp; Rendite'!G22/$B16*(1-'02 Annahmen'!C52)-'08 Ertrag &amp; Rendite'!G25*(1+H$9)</f>
        <v>-21852391.1724</v>
      </c>
    </row>
    <row r="17" customFormat="false" ht="15" hidden="false" customHeight="false" outlineLevel="0" collapsed="false">
      <c r="B17" s="46"/>
    </row>
    <row r="18" customFormat="false" ht="15" hidden="false" customHeight="false" outlineLevel="0" collapsed="false">
      <c r="B18" s="165" t="s">
        <v>772</v>
      </c>
      <c r="C18" s="166" t="s">
        <v>773</v>
      </c>
      <c r="D18" s="166"/>
      <c r="E18" s="166"/>
      <c r="F18" s="166"/>
      <c r="G18" s="166"/>
      <c r="H18" s="166"/>
      <c r="I18" s="166"/>
    </row>
    <row r="20" customFormat="false" ht="18" hidden="false" customHeight="true" outlineLevel="0" collapsed="false">
      <c r="A20" s="7" t="s">
        <v>774</v>
      </c>
      <c r="B20" s="8"/>
      <c r="C20" s="8"/>
      <c r="D20" s="8"/>
      <c r="E20" s="8"/>
      <c r="F20" s="8"/>
      <c r="G20" s="8"/>
      <c r="H20" s="8"/>
      <c r="I20" s="8"/>
      <c r="J20" s="8"/>
      <c r="K20" s="8"/>
      <c r="L20" s="8"/>
    </row>
    <row r="22" customFormat="false" ht="31.5" hidden="false" customHeight="true" outlineLevel="0" collapsed="false">
      <c r="B22" s="161" t="s">
        <v>775</v>
      </c>
      <c r="C22" s="162" t="n">
        <v>-0.2</v>
      </c>
      <c r="D22" s="162" t="n">
        <v>-0.15</v>
      </c>
      <c r="E22" s="162" t="n">
        <v>-0.1</v>
      </c>
      <c r="F22" s="162" t="n">
        <v>-0.05</v>
      </c>
      <c r="G22" s="162" t="n">
        <v>0</v>
      </c>
      <c r="H22" s="162" t="n">
        <v>0.05</v>
      </c>
      <c r="I22" s="162" t="n">
        <v>0.1</v>
      </c>
    </row>
    <row r="23" customFormat="false" ht="15" hidden="false" customHeight="true" outlineLevel="0" collapsed="false">
      <c r="B23" s="163" t="n">
        <v>0.035</v>
      </c>
      <c r="C23" s="167" t="n">
        <f aca="false">('08 Ertrag &amp; Rendite'!G22*(1+C$22)/$B23*(1-'02 Annahmen'!C52)-'08 Ertrag &amp; Rendite'!G25)/'08 Ertrag &amp; Rendite'!G25</f>
        <v>-0.0172188911599274</v>
      </c>
      <c r="D23" s="167" t="n">
        <f aca="false">('08 Ertrag &amp; Rendite'!G22*(1+D$22)/$B23*(1-'02 Annahmen'!C52)-'08 Ertrag &amp; Rendite'!G25)/'08 Ertrag &amp; Rendite'!G25</f>
        <v>0.0442049281425772</v>
      </c>
      <c r="E23" s="167" t="n">
        <f aca="false">('08 Ertrag &amp; Rendite'!G22*(1+E$22)/$B23*(1-'02 Annahmen'!C52)-'08 Ertrag &amp; Rendite'!G25)/'08 Ertrag &amp; Rendite'!G25</f>
        <v>0.105628747445082</v>
      </c>
      <c r="F23" s="167" t="n">
        <f aca="false">('08 Ertrag &amp; Rendite'!G22*(1+F$22)/$B23*(1-'02 Annahmen'!C52)-'08 Ertrag &amp; Rendite'!G25)/'08 Ertrag &amp; Rendite'!G25</f>
        <v>0.167052566747586</v>
      </c>
      <c r="G23" s="167" t="n">
        <f aca="false">('08 Ertrag &amp; Rendite'!G22*(1+G$22)/$B23*(1-'02 Annahmen'!C52)-'08 Ertrag &amp; Rendite'!G25)/'08 Ertrag &amp; Rendite'!G25</f>
        <v>0.228476386050091</v>
      </c>
      <c r="H23" s="167" t="n">
        <f aca="false">('08 Ertrag &amp; Rendite'!G22*(1+H$22)/$B23*(1-'02 Annahmen'!C52)-'08 Ertrag &amp; Rendite'!G25)/'08 Ertrag &amp; Rendite'!G25</f>
        <v>0.289900205352595</v>
      </c>
      <c r="I23" s="167" t="n">
        <f aca="false">('08 Ertrag &amp; Rendite'!G22*(1+I$22)/$B23*(1-'02 Annahmen'!C52)-'08 Ertrag &amp; Rendite'!G25)/'08 Ertrag &amp; Rendite'!G25</f>
        <v>0.3513240246551</v>
      </c>
    </row>
    <row r="24" customFormat="false" ht="15" hidden="false" customHeight="true" outlineLevel="0" collapsed="false">
      <c r="B24" s="163" t="n">
        <v>0.0375</v>
      </c>
      <c r="C24" s="167" t="n">
        <f aca="false">('08 Ertrag &amp; Rendite'!G22*(1+C$22)/$B24*(1-'02 Annahmen'!C52)-'08 Ertrag &amp; Rendite'!G25)/'08 Ertrag &amp; Rendite'!G25</f>
        <v>-0.0827376317492655</v>
      </c>
      <c r="D24" s="167" t="n">
        <f aca="false">('08 Ertrag &amp; Rendite'!G22*(1+D$22)/$B24*(1-'02 Annahmen'!C52)-'08 Ertrag &amp; Rendite'!G25)/'08 Ertrag &amp; Rendite'!G25</f>
        <v>-0.0254087337335945</v>
      </c>
      <c r="E24" s="167" t="n">
        <f aca="false">('08 Ertrag &amp; Rendite'!G22*(1+E$22)/$B24*(1-'02 Annahmen'!C52)-'08 Ertrag &amp; Rendite'!G25)/'08 Ertrag &amp; Rendite'!G25</f>
        <v>0.0319201642820764</v>
      </c>
      <c r="F24" s="167" t="n">
        <f aca="false">('08 Ertrag &amp; Rendite'!G22*(1+F$22)/$B24*(1-'02 Annahmen'!C52)-'08 Ertrag &amp; Rendite'!G25)/'08 Ertrag &amp; Rendite'!G25</f>
        <v>0.0892490622977472</v>
      </c>
      <c r="G24" s="167" t="n">
        <f aca="false">('08 Ertrag &amp; Rendite'!G22*(1+G$22)/$B24*(1-'02 Annahmen'!C52)-'08 Ertrag &amp; Rendite'!G25)/'08 Ertrag &amp; Rendite'!G25</f>
        <v>0.146577960313418</v>
      </c>
      <c r="H24" s="167" t="n">
        <f aca="false">('08 Ertrag &amp; Rendite'!G22*(1+H$22)/$B24*(1-'02 Annahmen'!C52)-'08 Ertrag &amp; Rendite'!G25)/'08 Ertrag &amp; Rendite'!G25</f>
        <v>0.203906858329089</v>
      </c>
      <c r="I24" s="167" t="n">
        <f aca="false">('08 Ertrag &amp; Rendite'!G22*(1+I$22)/$B24*(1-'02 Annahmen'!C52)-'08 Ertrag &amp; Rendite'!G25)/'08 Ertrag &amp; Rendite'!G25</f>
        <v>0.26123575634476</v>
      </c>
    </row>
    <row r="25" customFormat="false" ht="15" hidden="false" customHeight="true" outlineLevel="0" collapsed="false">
      <c r="B25" s="163" t="n">
        <v>0.04</v>
      </c>
      <c r="C25" s="167" t="n">
        <f aca="false">('08 Ertrag &amp; Rendite'!G22*(1+C$22)/$B25*(1-'02 Annahmen'!C52)-'08 Ertrag &amp; Rendite'!G25)/'08 Ertrag &amp; Rendite'!G25</f>
        <v>-0.140066529764936</v>
      </c>
      <c r="D25" s="167" t="n">
        <f aca="false">('08 Ertrag &amp; Rendite'!G22*(1+D$22)/$B25*(1-'02 Annahmen'!C52)-'08 Ertrag &amp; Rendite'!G25)/'08 Ertrag &amp; Rendite'!G25</f>
        <v>-0.0863206878752449</v>
      </c>
      <c r="E25" s="167" t="n">
        <f aca="false">('08 Ertrag &amp; Rendite'!G22*(1+E$22)/$B25*(1-'02 Annahmen'!C52)-'08 Ertrag &amp; Rendite'!G25)/'08 Ertrag &amp; Rendite'!G25</f>
        <v>-0.0325748459855534</v>
      </c>
      <c r="F25" s="167" t="n">
        <f aca="false">('08 Ertrag &amp; Rendite'!G22*(1+F$22)/$B25*(1-'02 Annahmen'!C52)-'08 Ertrag &amp; Rendite'!G25)/'08 Ertrag &amp; Rendite'!G25</f>
        <v>0.021170995904138</v>
      </c>
      <c r="G25" s="167" t="n">
        <f aca="false">('08 Ertrag &amp; Rendite'!G22*(1+G$22)/$B25*(1-'02 Annahmen'!C52)-'08 Ertrag &amp; Rendite'!G25)/'08 Ertrag &amp; Rendite'!G25</f>
        <v>0.0749168377938295</v>
      </c>
      <c r="H25" s="167" t="n">
        <f aca="false">('08 Ertrag &amp; Rendite'!G22*(1+H$22)/$B25*(1-'02 Annahmen'!C52)-'08 Ertrag &amp; Rendite'!G25)/'08 Ertrag &amp; Rendite'!G25</f>
        <v>0.128662679683521</v>
      </c>
      <c r="I25" s="167" t="n">
        <f aca="false">('08 Ertrag &amp; Rendite'!G22*(1+I$22)/$B25*(1-'02 Annahmen'!C52)-'08 Ertrag &amp; Rendite'!G25)/'08 Ertrag &amp; Rendite'!G25</f>
        <v>0.182408521573213</v>
      </c>
    </row>
    <row r="26" customFormat="false" ht="15" hidden="false" customHeight="true" outlineLevel="0" collapsed="false">
      <c r="B26" s="163" t="n">
        <v>0.0425</v>
      </c>
      <c r="C26" s="167" t="n">
        <f aca="false">('08 Ertrag &amp; Rendite'!G22*(1+C$22)/$B26*(1-'02 Annahmen'!C52)-'08 Ertrag &amp; Rendite'!G25)/'08 Ertrag &amp; Rendite'!G25</f>
        <v>-0.19065085154347</v>
      </c>
      <c r="D26" s="167" t="n">
        <f aca="false">('08 Ertrag &amp; Rendite'!G22*(1+D$22)/$B26*(1-'02 Annahmen'!C52)-'08 Ertrag &amp; Rendite'!G25)/'08 Ertrag &amp; Rendite'!G25</f>
        <v>-0.140066529764937</v>
      </c>
      <c r="E26" s="167" t="n">
        <f aca="false">('08 Ertrag &amp; Rendite'!G22*(1+E$22)/$B26*(1-'02 Annahmen'!C52)-'08 Ertrag &amp; Rendite'!G25)/'08 Ertrag &amp; Rendite'!G25</f>
        <v>-0.0894822079864034</v>
      </c>
      <c r="F26" s="167" t="n">
        <f aca="false">('08 Ertrag &amp; Rendite'!G22*(1+F$22)/$B26*(1-'02 Annahmen'!C52)-'08 Ertrag &amp; Rendite'!G25)/'08 Ertrag &amp; Rendite'!G25</f>
        <v>-0.0388978862078703</v>
      </c>
      <c r="G26" s="167" t="n">
        <f aca="false">('08 Ertrag &amp; Rendite'!G22*(1+G$22)/$B26*(1-'02 Annahmen'!C52)-'08 Ertrag &amp; Rendite'!G25)/'08 Ertrag &amp; Rendite'!G25</f>
        <v>0.0116864355706629</v>
      </c>
      <c r="H26" s="167" t="n">
        <f aca="false">('08 Ertrag &amp; Rendite'!G22*(1+H$22)/$B26*(1-'02 Annahmen'!C52)-'08 Ertrag &amp; Rendite'!G25)/'08 Ertrag &amp; Rendite'!G25</f>
        <v>0.0622707573491962</v>
      </c>
      <c r="I26" s="167" t="n">
        <f aca="false">('08 Ertrag &amp; Rendite'!G22*(1+I$22)/$B26*(1-'02 Annahmen'!C52)-'08 Ertrag &amp; Rendite'!G25)/'08 Ertrag &amp; Rendite'!G25</f>
        <v>0.112855079127729</v>
      </c>
    </row>
    <row r="27" customFormat="false" ht="15" hidden="false" customHeight="true" outlineLevel="0" collapsed="false">
      <c r="B27" s="163" t="n">
        <v>0.045</v>
      </c>
      <c r="C27" s="167" t="n">
        <f aca="false">('08 Ertrag &amp; Rendite'!G22*(1+C$22)/$B27*(1-'02 Annahmen'!C52)-'08 Ertrag &amp; Rendite'!G25)/'08 Ertrag &amp; Rendite'!G25</f>
        <v>-0.235614693124388</v>
      </c>
      <c r="D27" s="167" t="n">
        <f aca="false">('08 Ertrag &amp; Rendite'!G22*(1+D$22)/$B27*(1-'02 Annahmen'!C52)-'08 Ertrag &amp; Rendite'!G25)/'08 Ertrag &amp; Rendite'!G25</f>
        <v>-0.187840611444662</v>
      </c>
      <c r="E27" s="167" t="n">
        <f aca="false">('08 Ertrag &amp; Rendite'!G22*(1+E$22)/$B27*(1-'02 Annahmen'!C52)-'08 Ertrag &amp; Rendite'!G25)/'08 Ertrag &amp; Rendite'!G25</f>
        <v>-0.140066529764936</v>
      </c>
      <c r="F27" s="167" t="n">
        <f aca="false">('08 Ertrag &amp; Rendite'!G22*(1+F$22)/$B27*(1-'02 Annahmen'!C52)-'08 Ertrag &amp; Rendite'!G25)/'08 Ertrag &amp; Rendite'!G25</f>
        <v>-0.0922924480852106</v>
      </c>
      <c r="G27" s="167" t="n">
        <f aca="false">('08 Ertrag &amp; Rendite'!G22*(1+G$22)/$B27*(1-'02 Annahmen'!C52)-'08 Ertrag &amp; Rendite'!G25)/'08 Ertrag &amp; Rendite'!G25</f>
        <v>-0.0445183664054849</v>
      </c>
      <c r="H27" s="167" t="n">
        <f aca="false">('08 Ertrag &amp; Rendite'!G22*(1+H$22)/$B27*(1-'02 Annahmen'!C52)-'08 Ertrag &amp; Rendite'!G25)/'08 Ertrag &amp; Rendite'!G25</f>
        <v>0.00325571527424067</v>
      </c>
      <c r="I27" s="167" t="n">
        <f aca="false">('08 Ertrag &amp; Rendite'!G22*(1+I$22)/$B27*(1-'02 Annahmen'!C52)-'08 Ertrag &amp; Rendite'!G25)/'08 Ertrag &amp; Rendite'!G25</f>
        <v>0.0510297969539666</v>
      </c>
    </row>
    <row r="28" customFormat="false" ht="15" hidden="false" customHeight="true" outlineLevel="0" collapsed="false">
      <c r="B28" s="163" t="n">
        <v>0.0475</v>
      </c>
      <c r="C28" s="167" t="n">
        <f aca="false">('08 Ertrag &amp; Rendite'!G22*(1+C$22)/$B28*(1-'02 Annahmen'!C52)-'08 Ertrag &amp; Rendite'!G25)/'08 Ertrag &amp; Rendite'!G25</f>
        <v>-0.27584549874942</v>
      </c>
      <c r="D28" s="167" t="n">
        <f aca="false">('08 Ertrag &amp; Rendite'!G22*(1+D$22)/$B28*(1-'02 Annahmen'!C52)-'08 Ertrag &amp; Rendite'!G25)/'08 Ertrag &amp; Rendite'!G25</f>
        <v>-0.230585842421259</v>
      </c>
      <c r="E28" s="167" t="n">
        <f aca="false">('08 Ertrag &amp; Rendite'!G22*(1+E$22)/$B28*(1-'02 Annahmen'!C52)-'08 Ertrag &amp; Rendite'!G25)/'08 Ertrag &amp; Rendite'!G25</f>
        <v>-0.185326186093098</v>
      </c>
      <c r="F28" s="167" t="n">
        <f aca="false">('08 Ertrag &amp; Rendite'!G22*(1+F$22)/$B28*(1-'02 Annahmen'!C52)-'08 Ertrag &amp; Rendite'!G25)/'08 Ertrag &amp; Rendite'!G25</f>
        <v>-0.140066529764936</v>
      </c>
      <c r="G28" s="167" t="n">
        <f aca="false">('08 Ertrag &amp; Rendite'!G22*(1+G$22)/$B28*(1-'02 Annahmen'!C52)-'08 Ertrag &amp; Rendite'!G25)/'08 Ertrag &amp; Rendite'!G25</f>
        <v>-0.0948068734367751</v>
      </c>
      <c r="H28" s="167" t="n">
        <f aca="false">('08 Ertrag &amp; Rendite'!G22*(1+H$22)/$B28*(1-'02 Annahmen'!C52)-'08 Ertrag &amp; Rendite'!G25)/'08 Ertrag &amp; Rendite'!G25</f>
        <v>-0.049547217108614</v>
      </c>
      <c r="I28" s="167" t="n">
        <f aca="false">('08 Ertrag &amp; Rendite'!G22*(1+I$22)/$B28*(1-'02 Annahmen'!C52)-'08 Ertrag &amp; Rendite'!G25)/'08 Ertrag &amp; Rendite'!G25</f>
        <v>-0.00428756078045265</v>
      </c>
    </row>
    <row r="29" customFormat="false" ht="15" hidden="false" customHeight="true" outlineLevel="0" collapsed="false">
      <c r="B29" s="163" t="n">
        <v>0.05</v>
      </c>
      <c r="C29" s="167" t="n">
        <f aca="false">('08 Ertrag &amp; Rendite'!G22*(1+C$22)/$B29*(1-'02 Annahmen'!C52)-'08 Ertrag &amp; Rendite'!G25)/'08 Ertrag &amp; Rendite'!G25</f>
        <v>-0.312053223811949</v>
      </c>
      <c r="D29" s="167" t="n">
        <f aca="false">('08 Ertrag &amp; Rendite'!G22*(1+D$22)/$B29*(1-'02 Annahmen'!C52)-'08 Ertrag &amp; Rendite'!G25)/'08 Ertrag &amp; Rendite'!G25</f>
        <v>-0.269056550300196</v>
      </c>
      <c r="E29" s="167" t="n">
        <f aca="false">('08 Ertrag &amp; Rendite'!G22*(1+E$22)/$B29*(1-'02 Annahmen'!C52)-'08 Ertrag &amp; Rendite'!G25)/'08 Ertrag &amp; Rendite'!G25</f>
        <v>-0.226059876788443</v>
      </c>
      <c r="F29" s="167" t="n">
        <f aca="false">('08 Ertrag &amp; Rendite'!G22*(1+F$22)/$B29*(1-'02 Annahmen'!C52)-'08 Ertrag &amp; Rendite'!G25)/'08 Ertrag &amp; Rendite'!G25</f>
        <v>-0.18306320327669</v>
      </c>
      <c r="G29" s="167" t="n">
        <f aca="false">('08 Ertrag &amp; Rendite'!G22*(1+G$22)/$B29*(1-'02 Annahmen'!C52)-'08 Ertrag &amp; Rendite'!G25)/'08 Ertrag &amp; Rendite'!G25</f>
        <v>-0.140066529764937</v>
      </c>
      <c r="H29" s="167" t="n">
        <f aca="false">('08 Ertrag &amp; Rendite'!G22*(1+H$22)/$B29*(1-'02 Annahmen'!C52)-'08 Ertrag &amp; Rendite'!G25)/'08 Ertrag &amp; Rendite'!G25</f>
        <v>-0.0970698562531833</v>
      </c>
      <c r="I29" s="167" t="n">
        <f aca="false">('08 Ertrag &amp; Rendite'!G22*(1+I$22)/$B29*(1-'02 Annahmen'!C52)-'08 Ertrag &amp; Rendite'!G25)/'08 Ertrag &amp; Rendite'!G25</f>
        <v>-0.0540731827414301</v>
      </c>
    </row>
    <row r="32" customFormat="false" ht="18" hidden="false" customHeight="true" outlineLevel="0" collapsed="false">
      <c r="A32" s="7" t="s">
        <v>776</v>
      </c>
      <c r="B32" s="8"/>
      <c r="C32" s="8"/>
      <c r="D32" s="8"/>
      <c r="E32" s="8"/>
      <c r="F32" s="8"/>
      <c r="G32" s="8"/>
      <c r="H32" s="8"/>
      <c r="I32" s="8"/>
      <c r="J32" s="8"/>
      <c r="K32" s="8"/>
      <c r="L32" s="8"/>
    </row>
    <row r="34" customFormat="false" ht="31.5" hidden="false" customHeight="true" outlineLevel="0" collapsed="false">
      <c r="B34" s="161" t="s">
        <v>777</v>
      </c>
      <c r="C34" s="162" t="n">
        <v>-0.2</v>
      </c>
      <c r="D34" s="162" t="n">
        <v>-0.15</v>
      </c>
      <c r="E34" s="162" t="n">
        <v>-0.1</v>
      </c>
      <c r="F34" s="162" t="n">
        <v>-0.05</v>
      </c>
      <c r="G34" s="162" t="n">
        <v>0</v>
      </c>
      <c r="H34" s="162" t="n">
        <v>0.05</v>
      </c>
      <c r="I34" s="162" t="n">
        <v>0.1</v>
      </c>
    </row>
    <row r="35" customFormat="false" ht="15" hidden="false" customHeight="true" outlineLevel="0" collapsed="false">
      <c r="B35" s="162" t="n">
        <v>-0.1</v>
      </c>
      <c r="C35" s="168" t="n">
        <f aca="false">'08 Ertrag &amp; Rendite'!G22*(1+C$34)/('08 Ertrag &amp; Rendite'!G25*(1+$B35))</f>
        <v>0.0388012846129752</v>
      </c>
      <c r="D35" s="168" t="n">
        <f aca="false">'08 Ertrag &amp; Rendite'!G22*(1+D$34)/('08 Ertrag &amp; Rendite'!G25*(1+$B35))</f>
        <v>0.0412263649012862</v>
      </c>
      <c r="E35" s="168" t="n">
        <f aca="false">'08 Ertrag &amp; Rendite'!G22*(1+E$34)/('08 Ertrag &amp; Rendite'!G25*(1+$B35))</f>
        <v>0.0436514451895971</v>
      </c>
      <c r="F35" s="168" t="n">
        <f aca="false">'08 Ertrag &amp; Rendite'!G22*(1+F$34)/('08 Ertrag &amp; Rendite'!G25*(1+$B35))</f>
        <v>0.0460765254779081</v>
      </c>
      <c r="G35" s="168" t="n">
        <f aca="false">'08 Ertrag &amp; Rendite'!G22*(1+G$34)/('08 Ertrag &amp; Rendite'!G25*(1+$B35))</f>
        <v>0.048501605766219</v>
      </c>
      <c r="H35" s="168" t="n">
        <f aca="false">'08 Ertrag &amp; Rendite'!G22*(1+H$34)/('08 Ertrag &amp; Rendite'!G25*(1+$B35))</f>
        <v>0.05092668605453</v>
      </c>
      <c r="I35" s="168" t="n">
        <f aca="false">'08 Ertrag &amp; Rendite'!G22*(1+I$34)/('08 Ertrag &amp; Rendite'!G25*(1+$B35))</f>
        <v>0.053351766342841</v>
      </c>
    </row>
    <row r="36" customFormat="false" ht="15" hidden="false" customHeight="true" outlineLevel="0" collapsed="false">
      <c r="B36" s="162" t="n">
        <v>-0.05</v>
      </c>
      <c r="C36" s="168" t="n">
        <f aca="false">'08 Ertrag &amp; Rendite'!G22*(1+C$34)/('08 Ertrag &amp; Rendite'!G25*(1+$B36))</f>
        <v>0.0367591117386081</v>
      </c>
      <c r="D36" s="168" t="n">
        <f aca="false">'08 Ertrag &amp; Rendite'!G22*(1+D$34)/('08 Ertrag &amp; Rendite'!G25*(1+$B36))</f>
        <v>0.0390565562222711</v>
      </c>
      <c r="E36" s="168" t="n">
        <f aca="false">'08 Ertrag &amp; Rendite'!G22*(1+E$34)/('08 Ertrag &amp; Rendite'!G25*(1+$B36))</f>
        <v>0.0413540007059341</v>
      </c>
      <c r="F36" s="168" t="n">
        <f aca="false">'08 Ertrag &amp; Rendite'!G22*(1+F$34)/('08 Ertrag &amp; Rendite'!G25*(1+$B36))</f>
        <v>0.0436514451895971</v>
      </c>
      <c r="G36" s="168" t="n">
        <f aca="false">'08 Ertrag &amp; Rendite'!G22*(1+G$34)/('08 Ertrag &amp; Rendite'!G25*(1+$B36))</f>
        <v>0.0459488896732601</v>
      </c>
      <c r="H36" s="168" t="n">
        <f aca="false">'08 Ertrag &amp; Rendite'!G22*(1+H$34)/('08 Ertrag &amp; Rendite'!G25*(1+$B36))</f>
        <v>0.0482463341569232</v>
      </c>
      <c r="I36" s="168" t="n">
        <f aca="false">'08 Ertrag &amp; Rendite'!G22*(1+I$34)/('08 Ertrag &amp; Rendite'!G25*(1+$B36))</f>
        <v>0.0505437786405862</v>
      </c>
    </row>
    <row r="37" customFormat="false" ht="15" hidden="false" customHeight="true" outlineLevel="0" collapsed="false">
      <c r="B37" s="162" t="n">
        <v>0</v>
      </c>
      <c r="C37" s="168" t="n">
        <f aca="false">'08 Ertrag &amp; Rendite'!G22*(1+C$34)/('08 Ertrag &amp; Rendite'!G25*(1+$B37))</f>
        <v>0.0349211561516777</v>
      </c>
      <c r="D37" s="168" t="n">
        <f aca="false">'08 Ertrag &amp; Rendite'!G22*(1+D$34)/('08 Ertrag &amp; Rendite'!G25*(1+$B37))</f>
        <v>0.0371037284111576</v>
      </c>
      <c r="E37" s="168" t="n">
        <f aca="false">'08 Ertrag &amp; Rendite'!G22*(1+E$34)/('08 Ertrag &amp; Rendite'!G25*(1+$B37))</f>
        <v>0.0392863006706374</v>
      </c>
      <c r="F37" s="168" t="n">
        <f aca="false">'08 Ertrag &amp; Rendite'!G22*(1+F$34)/('08 Ertrag &amp; Rendite'!G25*(1+$B37))</f>
        <v>0.0414688729301173</v>
      </c>
      <c r="G37" s="168" t="n">
        <f aca="false">'08 Ertrag &amp; Rendite'!G22*(1+G$34)/('08 Ertrag &amp; Rendite'!G25*(1+$B37))</f>
        <v>0.0436514451895971</v>
      </c>
      <c r="H37" s="168" t="n">
        <f aca="false">'08 Ertrag &amp; Rendite'!G22*(1+H$34)/('08 Ertrag &amp; Rendite'!G25*(1+$B37))</f>
        <v>0.045834017449077</v>
      </c>
      <c r="I37" s="168" t="n">
        <f aca="false">'08 Ertrag &amp; Rendite'!G22*(1+I$34)/('08 Ertrag &amp; Rendite'!G25*(1+$B37))</f>
        <v>0.0480165897085569</v>
      </c>
    </row>
    <row r="38" customFormat="false" ht="15" hidden="false" customHeight="true" outlineLevel="0" collapsed="false">
      <c r="B38" s="162" t="n">
        <v>0.05</v>
      </c>
      <c r="C38" s="168" t="n">
        <f aca="false">'08 Ertrag &amp; Rendite'!G22*(1+C$34)/('08 Ertrag &amp; Rendite'!G25*(1+$B38))</f>
        <v>0.0332582439539788</v>
      </c>
      <c r="D38" s="168" t="n">
        <f aca="false">'08 Ertrag &amp; Rendite'!G22*(1+D$34)/('08 Ertrag &amp; Rendite'!G25*(1+$B38))</f>
        <v>0.0353368842011024</v>
      </c>
      <c r="E38" s="168" t="n">
        <f aca="false">'08 Ertrag &amp; Rendite'!G22*(1+E$34)/('08 Ertrag &amp; Rendite'!G25*(1+$B38))</f>
        <v>0.0374155244482261</v>
      </c>
      <c r="F38" s="168" t="n">
        <f aca="false">'08 Ertrag &amp; Rendite'!G22*(1+F$34)/('08 Ertrag &amp; Rendite'!G25*(1+$B38))</f>
        <v>0.0394941646953498</v>
      </c>
      <c r="G38" s="168" t="n">
        <f aca="false">'08 Ertrag &amp; Rendite'!G22*(1+G$34)/('08 Ertrag &amp; Rendite'!G25*(1+$B38))</f>
        <v>0.0415728049424735</v>
      </c>
      <c r="H38" s="168" t="n">
        <f aca="false">'08 Ertrag &amp; Rendite'!G22*(1+H$34)/('08 Ertrag &amp; Rendite'!G25*(1+$B38))</f>
        <v>0.0436514451895971</v>
      </c>
      <c r="I38" s="168" t="n">
        <f aca="false">'08 Ertrag &amp; Rendite'!G22*(1+I$34)/('08 Ertrag &amp; Rendite'!G25*(1+$B38))</f>
        <v>0.0457300854367208</v>
      </c>
    </row>
    <row r="39" customFormat="false" ht="15" hidden="false" customHeight="true" outlineLevel="0" collapsed="false">
      <c r="B39" s="162" t="n">
        <v>0.1</v>
      </c>
      <c r="C39" s="168" t="n">
        <f aca="false">'08 Ertrag &amp; Rendite'!G22*(1+C$34)/('08 Ertrag &amp; Rendite'!G25*(1+$B39))</f>
        <v>0.0317465055924343</v>
      </c>
      <c r="D39" s="168" t="n">
        <f aca="false">'08 Ertrag &amp; Rendite'!G22*(1+D$34)/('08 Ertrag &amp; Rendite'!G25*(1+$B39))</f>
        <v>0.0337306621919614</v>
      </c>
      <c r="E39" s="168" t="n">
        <f aca="false">'08 Ertrag &amp; Rendite'!G22*(1+E$34)/('08 Ertrag &amp; Rendite'!G25*(1+$B39))</f>
        <v>0.0357148187914886</v>
      </c>
      <c r="F39" s="168" t="n">
        <f aca="false">'08 Ertrag &amp; Rendite'!G22*(1+F$34)/('08 Ertrag &amp; Rendite'!G25*(1+$B39))</f>
        <v>0.0376989753910157</v>
      </c>
      <c r="G39" s="168" t="n">
        <f aca="false">'08 Ertrag &amp; Rendite'!G22*(1+G$34)/('08 Ertrag &amp; Rendite'!G25*(1+$B39))</f>
        <v>0.0396831319905429</v>
      </c>
      <c r="H39" s="168" t="n">
        <f aca="false">'08 Ertrag &amp; Rendite'!G22*(1+H$34)/('08 Ertrag &amp; Rendite'!G25*(1+$B39))</f>
        <v>0.04166728859007</v>
      </c>
      <c r="I39" s="168" t="n">
        <f aca="false">'08 Ertrag &amp; Rendite'!G22*(1+I$34)/('08 Ertrag &amp; Rendite'!G25*(1+$B39))</f>
        <v>0.0436514451895971</v>
      </c>
    </row>
    <row r="40" customFormat="false" ht="15" hidden="false" customHeight="true" outlineLevel="0" collapsed="false">
      <c r="B40" s="162" t="n">
        <v>0.15</v>
      </c>
      <c r="C40" s="168" t="n">
        <f aca="false">'08 Ertrag &amp; Rendite'!G22*(1+C$34)/('08 Ertrag &amp; Rendite'!G25*(1+$B40))</f>
        <v>0.0303662227405893</v>
      </c>
      <c r="D40" s="168" t="n">
        <f aca="false">'08 Ertrag &amp; Rendite'!G22*(1+D$34)/('08 Ertrag &amp; Rendite'!G25*(1+$B40))</f>
        <v>0.0322641116618761</v>
      </c>
      <c r="E40" s="168" t="n">
        <f aca="false">'08 Ertrag &amp; Rendite'!G22*(1+E$34)/('08 Ertrag &amp; Rendite'!G25*(1+$B40))</f>
        <v>0.034162000583163</v>
      </c>
      <c r="F40" s="168" t="n">
        <f aca="false">'08 Ertrag &amp; Rendite'!G22*(1+F$34)/('08 Ertrag &amp; Rendite'!G25*(1+$B40))</f>
        <v>0.0360598895044498</v>
      </c>
      <c r="G40" s="168" t="n">
        <f aca="false">'08 Ertrag &amp; Rendite'!G22*(1+G$34)/('08 Ertrag &amp; Rendite'!G25*(1+$B40))</f>
        <v>0.0379577784257366</v>
      </c>
      <c r="H40" s="168" t="n">
        <f aca="false">'08 Ertrag &amp; Rendite'!G22*(1+H$34)/('08 Ertrag &amp; Rendite'!G25*(1+$B40))</f>
        <v>0.0398556673470235</v>
      </c>
      <c r="I40" s="168" t="n">
        <f aca="false">'08 Ertrag &amp; Rendite'!G22*(1+I$34)/('08 Ertrag &amp; Rendite'!G25*(1+$B40))</f>
        <v>0.0417535562683103</v>
      </c>
    </row>
    <row r="62" customFormat="false" ht="17.25" hidden="false" customHeight="true" outlineLevel="0" collapsed="false">
      <c r="B62" s="13" t="s">
        <v>778</v>
      </c>
      <c r="C62" s="13"/>
      <c r="D62" s="13"/>
      <c r="E62" s="13"/>
      <c r="F62" s="13"/>
      <c r="G62" s="13"/>
      <c r="H62" s="13"/>
      <c r="I62" s="13"/>
    </row>
    <row r="63" customFormat="false" ht="17.25" hidden="false" customHeight="true" outlineLevel="0" collapsed="false">
      <c r="B63" s="13"/>
      <c r="C63" s="13"/>
      <c r="D63" s="13"/>
      <c r="E63" s="13"/>
      <c r="F63" s="13"/>
      <c r="G63" s="13"/>
      <c r="H63" s="13"/>
      <c r="I63" s="13"/>
    </row>
    <row r="64" customFormat="false" ht="17.25" hidden="false" customHeight="true" outlineLevel="0" collapsed="false">
      <c r="B64" s="13"/>
      <c r="C64" s="13"/>
      <c r="D64" s="13"/>
      <c r="E64" s="13"/>
      <c r="F64" s="13"/>
      <c r="G64" s="13"/>
      <c r="H64" s="13"/>
      <c r="I64" s="13"/>
    </row>
    <row r="65" customFormat="false" ht="17.25" hidden="false" customHeight="true" outlineLevel="0" collapsed="false">
      <c r="B65" s="13"/>
      <c r="C65" s="13"/>
      <c r="D65" s="13"/>
      <c r="E65" s="13"/>
      <c r="F65" s="13"/>
      <c r="G65" s="13"/>
      <c r="H65" s="13"/>
      <c r="I65" s="13"/>
    </row>
    <row r="66" customFormat="false" ht="17.25" hidden="false" customHeight="true" outlineLevel="0" collapsed="false">
      <c r="B66" s="13"/>
      <c r="C66" s="13"/>
      <c r="D66" s="13"/>
      <c r="E66" s="13"/>
      <c r="F66" s="13"/>
      <c r="G66" s="13"/>
      <c r="H66" s="13"/>
      <c r="I66" s="13"/>
    </row>
  </sheetData>
  <mergeCells count="2">
    <mergeCell ref="C18:I18"/>
    <mergeCell ref="B62:I66"/>
  </mergeCells>
  <conditionalFormatting sqref="C10:H16">
    <cfRule type="colorScale" priority="2">
      <colorScale>
        <cfvo type="min" val="0"/>
        <cfvo type="percentile" val="50"/>
        <cfvo type="max" val="0"/>
        <color rgb="FFF2E7DA"/>
        <color rgb="FFFFFFFF"/>
        <color rgb="FFEDF3DA"/>
      </colorScale>
    </cfRule>
  </conditionalFormatting>
  <conditionalFormatting sqref="C23:I29">
    <cfRule type="colorScale" priority="3">
      <colorScale>
        <cfvo type="min" val="0"/>
        <cfvo type="percentile" val="50"/>
        <cfvo type="max" val="0"/>
        <color rgb="FFF2E7DA"/>
        <color rgb="FFFFFFFF"/>
        <color rgb="FFEDF3DA"/>
      </colorScale>
    </cfRule>
  </conditionalFormatting>
  <conditionalFormatting sqref="C35:I40">
    <cfRule type="colorScale" priority="4">
      <colorScale>
        <cfvo type="min" val="0"/>
        <cfvo type="percentile" val="50"/>
        <cfvo type="max" val="0"/>
        <color rgb="FFF2E7DA"/>
        <color rgb="FFFFFFFF"/>
        <color rgb="FFEDF3DA"/>
      </colorScale>
    </cfRule>
  </conditionalFormatting>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18726"/>
    <pageSetUpPr fitToPage="true"/>
  </sheetPr>
  <dimension ref="A1:H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50"/>
    <col collapsed="false" customWidth="true" hidden="false" outlineLevel="0" max="3" min="3" style="0" width="9"/>
    <col collapsed="false" customWidth="true" hidden="false" outlineLevel="0" max="6" min="4" style="0" width="18"/>
    <col collapsed="false" customWidth="true" hidden="false" outlineLevel="0" max="7" min="7" style="0" width="4"/>
    <col collapsed="false" customWidth="true" hidden="false" outlineLevel="0" max="8" min="8" style="0" width="44"/>
  </cols>
  <sheetData>
    <row r="1" customFormat="false" ht="13.5" hidden="false" customHeight="true" outlineLevel="0" collapsed="false">
      <c r="A1" s="1" t="s">
        <v>0</v>
      </c>
      <c r="B1" s="2"/>
      <c r="C1" s="2"/>
      <c r="D1" s="2"/>
      <c r="E1" s="2"/>
      <c r="F1" s="2"/>
      <c r="G1" s="2"/>
      <c r="H1" s="2"/>
    </row>
    <row r="2" customFormat="false" ht="24" hidden="false" customHeight="true" outlineLevel="0" collapsed="false">
      <c r="A2" s="3" t="s">
        <v>779</v>
      </c>
      <c r="B2" s="2"/>
      <c r="C2" s="2"/>
      <c r="D2" s="2"/>
      <c r="E2" s="2"/>
      <c r="F2" s="2"/>
      <c r="G2" s="2"/>
      <c r="H2" s="2"/>
    </row>
    <row r="3" customFormat="false" ht="15.75" hidden="false" customHeight="true" outlineLevel="0" collapsed="false">
      <c r="A3" s="4" t="s">
        <v>780</v>
      </c>
      <c r="B3" s="2"/>
      <c r="C3" s="2"/>
      <c r="D3" s="2"/>
      <c r="E3" s="2"/>
      <c r="F3" s="2"/>
      <c r="G3" s="2"/>
      <c r="H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781</v>
      </c>
      <c r="B7" s="8"/>
      <c r="C7" s="8"/>
      <c r="D7" s="8"/>
      <c r="E7" s="8"/>
      <c r="F7" s="8"/>
      <c r="G7" s="8"/>
      <c r="H7" s="8"/>
    </row>
    <row r="8" customFormat="false" ht="24" hidden="false" customHeight="true" outlineLevel="0" collapsed="false">
      <c r="A8" s="39"/>
      <c r="B8" s="39" t="s">
        <v>782</v>
      </c>
      <c r="C8" s="39" t="s">
        <v>620</v>
      </c>
      <c r="D8" s="39" t="s">
        <v>783</v>
      </c>
      <c r="E8" s="39" t="s">
        <v>784</v>
      </c>
      <c r="F8" s="39" t="s">
        <v>785</v>
      </c>
      <c r="G8" s="39"/>
      <c r="H8" s="39" t="s">
        <v>116</v>
      </c>
    </row>
    <row r="9" customFormat="false" ht="15" hidden="false" customHeight="true" outlineLevel="0" collapsed="false">
      <c r="A9" s="40"/>
      <c r="B9" s="114" t="s">
        <v>786</v>
      </c>
      <c r="C9" s="134" t="s">
        <v>178</v>
      </c>
      <c r="D9" s="169" t="n">
        <v>0.1</v>
      </c>
      <c r="E9" s="169" t="n">
        <v>0</v>
      </c>
      <c r="F9" s="169" t="n">
        <v>-0.03</v>
      </c>
      <c r="H9" s="14" t="s">
        <v>787</v>
      </c>
    </row>
    <row r="10" customFormat="false" ht="15" hidden="false" customHeight="true" outlineLevel="0" collapsed="false">
      <c r="A10" s="40"/>
      <c r="B10" s="114" t="s">
        <v>788</v>
      </c>
      <c r="C10" s="134" t="s">
        <v>178</v>
      </c>
      <c r="D10" s="169" t="n">
        <v>-0.15</v>
      </c>
      <c r="E10" s="169" t="n">
        <v>0</v>
      </c>
      <c r="F10" s="169" t="n">
        <v>0.05</v>
      </c>
      <c r="H10" s="14" t="s">
        <v>789</v>
      </c>
    </row>
    <row r="11" customFormat="false" ht="15" hidden="false" customHeight="true" outlineLevel="0" collapsed="false">
      <c r="A11" s="40"/>
      <c r="B11" s="114" t="s">
        <v>210</v>
      </c>
      <c r="C11" s="134" t="s">
        <v>178</v>
      </c>
      <c r="D11" s="143" t="n">
        <v>0.12</v>
      </c>
      <c r="E11" s="143" t="n">
        <v>0.05</v>
      </c>
      <c r="F11" s="143" t="n">
        <v>0.03</v>
      </c>
      <c r="H11" s="14" t="s">
        <v>790</v>
      </c>
    </row>
    <row r="12" customFormat="false" ht="15" hidden="false" customHeight="true" outlineLevel="0" collapsed="false">
      <c r="A12" s="40"/>
      <c r="B12" s="114" t="s">
        <v>791</v>
      </c>
      <c r="C12" s="134" t="s">
        <v>178</v>
      </c>
      <c r="D12" s="143" t="n">
        <v>0.15</v>
      </c>
      <c r="E12" s="143" t="n">
        <v>0.12</v>
      </c>
      <c r="F12" s="143" t="n">
        <v>0.1</v>
      </c>
      <c r="H12" s="14" t="s">
        <v>792</v>
      </c>
    </row>
    <row r="13" customFormat="false" ht="15" hidden="false" customHeight="true" outlineLevel="0" collapsed="false">
      <c r="A13" s="40"/>
      <c r="B13" s="114" t="s">
        <v>741</v>
      </c>
      <c r="C13" s="134" t="s">
        <v>178</v>
      </c>
      <c r="D13" s="170" t="n">
        <v>0.0475</v>
      </c>
      <c r="E13" s="170" t="n">
        <v>0.0425</v>
      </c>
      <c r="F13" s="170" t="n">
        <v>0.039</v>
      </c>
      <c r="H13" s="14" t="s">
        <v>793</v>
      </c>
    </row>
    <row r="15" customFormat="false" ht="18" hidden="false" customHeight="true" outlineLevel="0" collapsed="false">
      <c r="A15" s="7" t="s">
        <v>794</v>
      </c>
      <c r="B15" s="8"/>
      <c r="C15" s="8"/>
      <c r="D15" s="8"/>
      <c r="E15" s="8"/>
      <c r="F15" s="8"/>
      <c r="G15" s="8"/>
      <c r="H15" s="8"/>
    </row>
    <row r="16" customFormat="false" ht="24" hidden="false" customHeight="true" outlineLevel="0" collapsed="false">
      <c r="A16" s="39"/>
      <c r="B16" s="39" t="s">
        <v>795</v>
      </c>
      <c r="C16" s="39" t="s">
        <v>620</v>
      </c>
      <c r="D16" s="39" t="s">
        <v>783</v>
      </c>
      <c r="E16" s="39" t="s">
        <v>784</v>
      </c>
      <c r="F16" s="39" t="s">
        <v>785</v>
      </c>
      <c r="G16" s="39"/>
      <c r="H16" s="39" t="s">
        <v>245</v>
      </c>
    </row>
    <row r="17" customFormat="false" ht="15" hidden="false" customHeight="true" outlineLevel="0" collapsed="false">
      <c r="A17" s="40"/>
      <c r="B17" s="114" t="s">
        <v>796</v>
      </c>
      <c r="C17" s="134" t="s">
        <v>172</v>
      </c>
      <c r="D17" s="89" t="n">
        <f aca="false">'08 Ertrag &amp; Rendite'!G25*(1+D9)</f>
        <v>82869369</v>
      </c>
      <c r="E17" s="89" t="n">
        <f aca="false">'08 Ertrag &amp; Rendite'!G25*(1+E9)</f>
        <v>75335790</v>
      </c>
      <c r="F17" s="89" t="n">
        <f aca="false">'08 Ertrag &amp; Rendite'!G25*(1+F9)</f>
        <v>73075716.3</v>
      </c>
      <c r="H17" s="14"/>
    </row>
    <row r="18" customFormat="false" ht="15" hidden="false" customHeight="true" outlineLevel="0" collapsed="false">
      <c r="A18" s="40"/>
      <c r="B18" s="114" t="s">
        <v>797</v>
      </c>
      <c r="C18" s="134" t="s">
        <v>798</v>
      </c>
      <c r="D18" s="89" t="n">
        <f aca="false">'08 Ertrag &amp; Rendite'!G18*(1+D10)</f>
        <v>3367757.46</v>
      </c>
      <c r="E18" s="89" t="n">
        <f aca="false">'08 Ertrag &amp; Rendite'!G18*(1+E10)</f>
        <v>3962067.6</v>
      </c>
      <c r="F18" s="89" t="n">
        <f aca="false">'08 Ertrag &amp; Rendite'!G18*(1+F10)</f>
        <v>4160170.98</v>
      </c>
      <c r="H18" s="14"/>
    </row>
    <row r="19" customFormat="false" ht="15" hidden="false" customHeight="true" outlineLevel="0" collapsed="false">
      <c r="A19" s="40"/>
      <c r="B19" s="114" t="s">
        <v>799</v>
      </c>
      <c r="C19" s="134" t="s">
        <v>798</v>
      </c>
      <c r="D19" s="89" t="n">
        <f aca="false">D18*(1-D11-D12)</f>
        <v>2458462.9458</v>
      </c>
      <c r="E19" s="89" t="n">
        <f aca="false">E18*(1-E11-E12)</f>
        <v>3288516.108</v>
      </c>
      <c r="F19" s="89" t="n">
        <f aca="false">F18*(1-F11-F12)</f>
        <v>3619348.7526</v>
      </c>
      <c r="H19" s="14" t="s">
        <v>800</v>
      </c>
    </row>
    <row r="20" customFormat="false" ht="15" hidden="false" customHeight="true" outlineLevel="0" collapsed="false">
      <c r="A20" s="40"/>
      <c r="B20" s="114" t="s">
        <v>801</v>
      </c>
      <c r="C20" s="134" t="s">
        <v>178</v>
      </c>
      <c r="D20" s="155" t="n">
        <f aca="false">D19/D17</f>
        <v>0.0296667269881106</v>
      </c>
      <c r="E20" s="155" t="n">
        <f aca="false">E19/E17</f>
        <v>0.0436514451895971</v>
      </c>
      <c r="F20" s="155" t="n">
        <f aca="false">F19/F17</f>
        <v>0.0495287482060576</v>
      </c>
      <c r="H20" s="14"/>
    </row>
    <row r="21" customFormat="false" ht="15" hidden="false" customHeight="true" outlineLevel="0" collapsed="false">
      <c r="A21" s="40"/>
      <c r="B21" s="114" t="s">
        <v>802</v>
      </c>
      <c r="C21" s="134" t="s">
        <v>172</v>
      </c>
      <c r="D21" s="89" t="n">
        <f aca="false">D19/D13</f>
        <v>51757114.6484211</v>
      </c>
      <c r="E21" s="89" t="n">
        <f aca="false">E19/E13</f>
        <v>77376849.6</v>
      </c>
      <c r="F21" s="89" t="n">
        <f aca="false">F19/F13</f>
        <v>92803814.1692308</v>
      </c>
      <c r="H21" s="14"/>
    </row>
    <row r="22" customFormat="false" ht="15" hidden="false" customHeight="true" outlineLevel="0" collapsed="false">
      <c r="A22" s="40"/>
      <c r="B22" s="114" t="s">
        <v>803</v>
      </c>
      <c r="C22" s="134" t="s">
        <v>172</v>
      </c>
      <c r="D22" s="89" t="n">
        <f aca="false">D21*(1-'02 Annahmen'!C52)</f>
        <v>50980757.9286947</v>
      </c>
      <c r="E22" s="89" t="n">
        <f aca="false">E21*(1-'02 Annahmen'!C52)</f>
        <v>76216196.856</v>
      </c>
      <c r="F22" s="89" t="n">
        <f aca="false">F21*(1-'02 Annahmen'!C52)</f>
        <v>91411756.9566923</v>
      </c>
      <c r="H22" s="14"/>
    </row>
    <row r="23" customFormat="false" ht="15" hidden="false" customHeight="true" outlineLevel="0" collapsed="false">
      <c r="A23" s="40"/>
      <c r="B23" s="41" t="s">
        <v>804</v>
      </c>
      <c r="C23" s="134" t="s">
        <v>172</v>
      </c>
      <c r="D23" s="106" t="n">
        <f aca="false">D22-D17</f>
        <v>-31888611.0713053</v>
      </c>
      <c r="E23" s="106" t="n">
        <f aca="false">E22-E17</f>
        <v>880406.855999991</v>
      </c>
      <c r="F23" s="106" t="n">
        <f aca="false">F22-F17</f>
        <v>18336040.6566923</v>
      </c>
      <c r="H23" s="14"/>
    </row>
    <row r="24" customFormat="false" ht="15" hidden="false" customHeight="true" outlineLevel="0" collapsed="false">
      <c r="A24" s="40"/>
      <c r="B24" s="41" t="s">
        <v>805</v>
      </c>
      <c r="C24" s="134" t="s">
        <v>178</v>
      </c>
      <c r="D24" s="158" t="n">
        <f aca="false">D23/D17</f>
        <v>-0.3848057666676</v>
      </c>
      <c r="E24" s="158" t="n">
        <f aca="false">E23/E17</f>
        <v>0.0116864355706629</v>
      </c>
      <c r="F24" s="158" t="n">
        <f aca="false">F23/F17</f>
        <v>0.250918384178635</v>
      </c>
      <c r="H24" s="14" t="s">
        <v>806</v>
      </c>
    </row>
    <row r="25" customFormat="false" ht="15" hidden="false" customHeight="true" outlineLevel="0" collapsed="false">
      <c r="A25" s="40"/>
      <c r="B25" s="114" t="s">
        <v>807</v>
      </c>
      <c r="C25" s="134" t="s">
        <v>684</v>
      </c>
      <c r="D25" s="89" t="n">
        <f aca="false">D23/'02 Annahmen'!C18</f>
        <v>-1302.32014503411</v>
      </c>
      <c r="E25" s="89" t="n">
        <f aca="false">E23/'02 Annahmen'!C18</f>
        <v>35.9555197255571</v>
      </c>
      <c r="F25" s="89" t="n">
        <f aca="false">F23/'02 Annahmen'!C18</f>
        <v>748.837729996419</v>
      </c>
      <c r="H25" s="14"/>
    </row>
    <row r="28" customFormat="false" ht="21.75" hidden="false" customHeight="true" outlineLevel="0" collapsed="false">
      <c r="H28" s="13" t="s">
        <v>808</v>
      </c>
    </row>
    <row r="29" customFormat="false" ht="21.75" hidden="false" customHeight="true" outlineLevel="0" collapsed="false">
      <c r="H29" s="13"/>
    </row>
    <row r="30" customFormat="false" ht="21.75" hidden="false" customHeight="true" outlineLevel="0" collapsed="false">
      <c r="H30" s="13"/>
    </row>
    <row r="31" customFormat="false" ht="21.75" hidden="false" customHeight="true" outlineLevel="0" collapsed="false">
      <c r="H31" s="13"/>
    </row>
    <row r="32" customFormat="false" ht="21.75" hidden="false" customHeight="true" outlineLevel="0" collapsed="false">
      <c r="H32" s="13"/>
    </row>
    <row r="33" customFormat="false" ht="21.75" hidden="false" customHeight="true" outlineLevel="0" collapsed="false">
      <c r="H33" s="13"/>
    </row>
    <row r="34" customFormat="false" ht="21.75" hidden="false" customHeight="true" outlineLevel="0" collapsed="false">
      <c r="H34" s="13"/>
    </row>
    <row r="35" customFormat="false" ht="21.75" hidden="false" customHeight="true" outlineLevel="0" collapsed="false">
      <c r="H35" s="13"/>
    </row>
    <row r="36" customFormat="false" ht="21.75" hidden="false" customHeight="true" outlineLevel="0" collapsed="false">
      <c r="H36" s="13"/>
    </row>
    <row r="37" customFormat="false" ht="21.75" hidden="false" customHeight="true" outlineLevel="0" collapsed="false">
      <c r="H37" s="13"/>
    </row>
    <row r="38" customFormat="false" ht="21.75" hidden="false" customHeight="true" outlineLevel="0" collapsed="false">
      <c r="H38" s="13"/>
    </row>
    <row r="39" customFormat="false" ht="21.75" hidden="false" customHeight="true" outlineLevel="0" collapsed="false">
      <c r="H39" s="13"/>
    </row>
    <row r="40" customFormat="false" ht="21.75" hidden="false" customHeight="true" outlineLevel="0" collapsed="false">
      <c r="H40" s="13"/>
    </row>
    <row r="41" customFormat="false" ht="21.75" hidden="false" customHeight="true" outlineLevel="0" collapsed="false">
      <c r="H41" s="13"/>
    </row>
    <row r="42" customFormat="false" ht="21.75" hidden="false" customHeight="true" outlineLevel="0" collapsed="false">
      <c r="H42" s="13"/>
    </row>
    <row r="43" customFormat="false" ht="21.75" hidden="false" customHeight="true" outlineLevel="0" collapsed="false">
      <c r="H43" s="13"/>
    </row>
    <row r="44" customFormat="false" ht="21.75" hidden="false" customHeight="true" outlineLevel="0" collapsed="false">
      <c r="H44" s="13"/>
    </row>
  </sheetData>
  <mergeCells count="1">
    <mergeCell ref="H28:H44"/>
  </mergeCells>
  <conditionalFormatting sqref="D23:F23">
    <cfRule type="colorScale" priority="2">
      <colorScale>
        <cfvo type="min" val="0"/>
        <cfvo type="percentile" val="50"/>
        <cfvo type="max" val="0"/>
        <color rgb="FFF2E7DA"/>
        <color rgb="FFFFFFFF"/>
        <color rgb="FFEDF3DA"/>
      </colorScale>
    </cfRule>
  </conditionalFormatting>
  <conditionalFormatting sqref="D24:F24">
    <cfRule type="colorScale" priority="3">
      <colorScale>
        <cfvo type="min" val="0"/>
        <cfvo type="percentile" val="50"/>
        <cfvo type="max" val="0"/>
        <color rgb="FFF2E7DA"/>
        <color rgb="FFFFFFFF"/>
        <color rgb="FFEDF3DA"/>
      </colorScale>
    </cfRule>
  </conditionalFormatting>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6401F"/>
    <pageSetUpPr fitToPage="true"/>
  </sheetPr>
  <dimension ref="A1:J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16"/>
    <col collapsed="false" customWidth="true" hidden="false" outlineLevel="0" max="3" min="3" style="0" width="44"/>
    <col collapsed="false" customWidth="true" hidden="false" outlineLevel="0" max="4" min="4" style="0" width="8"/>
    <col collapsed="false" customWidth="true" hidden="false" outlineLevel="0" max="5" min="5" style="0" width="15"/>
    <col collapsed="false" customWidth="true" hidden="false" outlineLevel="0" max="7" min="6" style="0" width="13"/>
    <col collapsed="false" customWidth="true" hidden="false" outlineLevel="0" max="8" min="8" style="0" width="54"/>
    <col collapsed="false" customWidth="true" hidden="false" outlineLevel="0" max="9" min="9" style="0" width="18"/>
    <col collapsed="false" customWidth="true" hidden="false" outlineLevel="0" max="10" min="10" style="0" width="4"/>
  </cols>
  <sheetData>
    <row r="1" customFormat="false" ht="13.5" hidden="false" customHeight="true" outlineLevel="0" collapsed="false">
      <c r="A1" s="1" t="s">
        <v>0</v>
      </c>
      <c r="B1" s="2"/>
      <c r="C1" s="2"/>
      <c r="D1" s="2"/>
      <c r="E1" s="2"/>
      <c r="F1" s="2"/>
      <c r="G1" s="2"/>
      <c r="H1" s="2"/>
      <c r="I1" s="2"/>
      <c r="J1" s="2"/>
    </row>
    <row r="2" customFormat="false" ht="24" hidden="false" customHeight="true" outlineLevel="0" collapsed="false">
      <c r="A2" s="3" t="s">
        <v>809</v>
      </c>
      <c r="B2" s="2"/>
      <c r="C2" s="2"/>
      <c r="D2" s="2"/>
      <c r="E2" s="2"/>
      <c r="F2" s="2"/>
      <c r="G2" s="2"/>
      <c r="H2" s="2"/>
      <c r="I2" s="2"/>
      <c r="J2" s="2"/>
    </row>
    <row r="3" customFormat="false" ht="15.75" hidden="false" customHeight="true" outlineLevel="0" collapsed="false">
      <c r="A3" s="4" t="s">
        <v>810</v>
      </c>
      <c r="B3" s="2"/>
      <c r="C3" s="2"/>
      <c r="D3" s="2"/>
      <c r="E3" s="2"/>
      <c r="F3" s="2"/>
      <c r="G3" s="2"/>
      <c r="H3" s="2"/>
      <c r="I3" s="2"/>
      <c r="J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811</v>
      </c>
      <c r="B7" s="8"/>
      <c r="C7" s="8"/>
      <c r="D7" s="8"/>
      <c r="E7" s="8"/>
      <c r="F7" s="8"/>
      <c r="G7" s="8"/>
      <c r="H7" s="8"/>
      <c r="I7" s="8"/>
      <c r="J7" s="8"/>
    </row>
    <row r="8" customFormat="false" ht="33.75" hidden="false" customHeight="true" outlineLevel="0" collapsed="false">
      <c r="A8" s="39" t="s">
        <v>812</v>
      </c>
      <c r="B8" s="39" t="s">
        <v>813</v>
      </c>
      <c r="C8" s="39" t="s">
        <v>814</v>
      </c>
      <c r="D8" s="39" t="s">
        <v>815</v>
      </c>
      <c r="E8" s="39" t="s">
        <v>816</v>
      </c>
      <c r="F8" s="39" t="s">
        <v>817</v>
      </c>
      <c r="G8" s="39" t="s">
        <v>818</v>
      </c>
      <c r="H8" s="39" t="s">
        <v>819</v>
      </c>
      <c r="I8" s="39" t="s">
        <v>820</v>
      </c>
      <c r="J8" s="39"/>
    </row>
    <row r="9" customFormat="false" ht="30" hidden="false" customHeight="true" outlineLevel="0" collapsed="false">
      <c r="A9" s="134" t="n">
        <v>1</v>
      </c>
      <c r="B9" s="144" t="s">
        <v>821</v>
      </c>
      <c r="C9" s="171" t="s">
        <v>822</v>
      </c>
      <c r="D9" s="172" t="n">
        <v>4</v>
      </c>
      <c r="E9" s="136" t="n">
        <v>3000000</v>
      </c>
      <c r="F9" s="89" t="n">
        <f aca="false">D9/5*E9</f>
        <v>2400000</v>
      </c>
      <c r="G9" s="137" t="str">
        <f aca="false">IF(F9&gt;=1500000,"hoch",IF(F9&gt;=600000,"mittel","tief"))</f>
        <v>hoch</v>
      </c>
      <c r="H9" s="43" t="s">
        <v>823</v>
      </c>
      <c r="I9" s="108" t="s">
        <v>824</v>
      </c>
    </row>
    <row r="10" customFormat="false" ht="30" hidden="false" customHeight="true" outlineLevel="0" collapsed="false">
      <c r="A10" s="134" t="n">
        <v>2</v>
      </c>
      <c r="B10" s="144" t="s">
        <v>821</v>
      </c>
      <c r="C10" s="171" t="s">
        <v>825</v>
      </c>
      <c r="D10" s="172" t="n">
        <v>4</v>
      </c>
      <c r="E10" s="136" t="n">
        <v>2000000</v>
      </c>
      <c r="F10" s="89" t="n">
        <f aca="false">D10/5*E10</f>
        <v>1600000</v>
      </c>
      <c r="G10" s="137" t="str">
        <f aca="false">IF(F10&gt;=1500000,"hoch",IF(F10&gt;=600000,"mittel","tief"))</f>
        <v>hoch</v>
      </c>
      <c r="H10" s="43" t="s">
        <v>826</v>
      </c>
      <c r="I10" s="108" t="s">
        <v>827</v>
      </c>
    </row>
    <row r="11" customFormat="false" ht="30" hidden="false" customHeight="true" outlineLevel="0" collapsed="false">
      <c r="A11" s="134" t="n">
        <v>3</v>
      </c>
      <c r="B11" s="144" t="s">
        <v>821</v>
      </c>
      <c r="C11" s="171" t="s">
        <v>828</v>
      </c>
      <c r="D11" s="172" t="n">
        <v>4</v>
      </c>
      <c r="E11" s="136" t="n">
        <v>1500000</v>
      </c>
      <c r="F11" s="89" t="n">
        <f aca="false">D11/5*E11</f>
        <v>1200000</v>
      </c>
      <c r="G11" s="137" t="str">
        <f aca="false">IF(F11&gt;=1500000,"hoch",IF(F11&gt;=600000,"mittel","tief"))</f>
        <v>mittel</v>
      </c>
      <c r="H11" s="43" t="s">
        <v>829</v>
      </c>
      <c r="I11" s="108" t="s">
        <v>830</v>
      </c>
    </row>
    <row r="12" customFormat="false" ht="30" hidden="false" customHeight="true" outlineLevel="0" collapsed="false">
      <c r="A12" s="134" t="n">
        <v>4</v>
      </c>
      <c r="B12" s="144" t="s">
        <v>821</v>
      </c>
      <c r="C12" s="171" t="s">
        <v>831</v>
      </c>
      <c r="D12" s="172" t="n">
        <v>3</v>
      </c>
      <c r="E12" s="136" t="n">
        <v>500000</v>
      </c>
      <c r="F12" s="89" t="n">
        <f aca="false">D12/5*E12</f>
        <v>300000</v>
      </c>
      <c r="G12" s="137" t="str">
        <f aca="false">IF(F12&gt;=1500000,"hoch",IF(F12&gt;=600000,"mittel","tief"))</f>
        <v>tief</v>
      </c>
      <c r="H12" s="43" t="s">
        <v>832</v>
      </c>
      <c r="I12" s="108" t="s">
        <v>833</v>
      </c>
    </row>
    <row r="13" customFormat="false" ht="30" hidden="false" customHeight="true" outlineLevel="0" collapsed="false">
      <c r="A13" s="134" t="n">
        <v>5</v>
      </c>
      <c r="B13" s="144" t="s">
        <v>821</v>
      </c>
      <c r="C13" s="171" t="s">
        <v>834</v>
      </c>
      <c r="D13" s="172" t="n">
        <v>4</v>
      </c>
      <c r="E13" s="136" t="n">
        <v>800000</v>
      </c>
      <c r="F13" s="89" t="n">
        <f aca="false">D13/5*E13</f>
        <v>640000</v>
      </c>
      <c r="G13" s="137" t="str">
        <f aca="false">IF(F13&gt;=1500000,"hoch",IF(F13&gt;=600000,"mittel","tief"))</f>
        <v>mittel</v>
      </c>
      <c r="H13" s="43" t="s">
        <v>835</v>
      </c>
      <c r="I13" s="108" t="s">
        <v>507</v>
      </c>
    </row>
    <row r="14" customFormat="false" ht="30" hidden="false" customHeight="true" outlineLevel="0" collapsed="false">
      <c r="A14" s="134" t="n">
        <v>6</v>
      </c>
      <c r="B14" s="144" t="s">
        <v>836</v>
      </c>
      <c r="C14" s="171" t="s">
        <v>837</v>
      </c>
      <c r="D14" s="172" t="n">
        <v>4</v>
      </c>
      <c r="E14" s="136" t="n">
        <v>4000000</v>
      </c>
      <c r="F14" s="89" t="n">
        <f aca="false">D14/5*E14</f>
        <v>3200000</v>
      </c>
      <c r="G14" s="137" t="str">
        <f aca="false">IF(F14&gt;=1500000,"hoch",IF(F14&gt;=600000,"mittel","tief"))</f>
        <v>hoch</v>
      </c>
      <c r="H14" s="43" t="s">
        <v>838</v>
      </c>
      <c r="I14" s="108" t="s">
        <v>839</v>
      </c>
    </row>
    <row r="15" customFormat="false" ht="30" hidden="false" customHeight="true" outlineLevel="0" collapsed="false">
      <c r="A15" s="134" t="n">
        <v>7</v>
      </c>
      <c r="B15" s="144" t="s">
        <v>836</v>
      </c>
      <c r="C15" s="171" t="s">
        <v>840</v>
      </c>
      <c r="D15" s="172" t="n">
        <v>3</v>
      </c>
      <c r="E15" s="136" t="n">
        <v>5000000</v>
      </c>
      <c r="F15" s="89" t="n">
        <f aca="false">D15/5*E15</f>
        <v>3000000</v>
      </c>
      <c r="G15" s="137" t="str">
        <f aca="false">IF(F15&gt;=1500000,"hoch",IF(F15&gt;=600000,"mittel","tief"))</f>
        <v>hoch</v>
      </c>
      <c r="H15" s="43" t="s">
        <v>841</v>
      </c>
      <c r="I15" s="108" t="s">
        <v>842</v>
      </c>
    </row>
    <row r="16" customFormat="false" ht="30" hidden="false" customHeight="true" outlineLevel="0" collapsed="false">
      <c r="A16" s="134" t="n">
        <v>8</v>
      </c>
      <c r="B16" s="144" t="s">
        <v>836</v>
      </c>
      <c r="C16" s="171" t="s">
        <v>843</v>
      </c>
      <c r="D16" s="172" t="n">
        <v>4</v>
      </c>
      <c r="E16" s="136" t="n">
        <v>2500000</v>
      </c>
      <c r="F16" s="89" t="n">
        <f aca="false">D16/5*E16</f>
        <v>2000000</v>
      </c>
      <c r="G16" s="137" t="str">
        <f aca="false">IF(F16&gt;=1500000,"hoch",IF(F16&gt;=600000,"mittel","tief"))</f>
        <v>hoch</v>
      </c>
      <c r="H16" s="43" t="s">
        <v>844</v>
      </c>
      <c r="I16" s="108" t="s">
        <v>839</v>
      </c>
    </row>
    <row r="17" customFormat="false" ht="30" hidden="false" customHeight="true" outlineLevel="0" collapsed="false">
      <c r="A17" s="134" t="n">
        <v>9</v>
      </c>
      <c r="B17" s="144" t="s">
        <v>845</v>
      </c>
      <c r="C17" s="171" t="s">
        <v>846</v>
      </c>
      <c r="D17" s="172" t="n">
        <v>3</v>
      </c>
      <c r="E17" s="136" t="n">
        <v>1000000</v>
      </c>
      <c r="F17" s="89" t="n">
        <f aca="false">D17/5*E17</f>
        <v>600000</v>
      </c>
      <c r="G17" s="137" t="str">
        <f aca="false">IF(F17&gt;=1500000,"hoch",IF(F17&gt;=600000,"mittel","tief"))</f>
        <v>mittel</v>
      </c>
      <c r="H17" s="43" t="s">
        <v>847</v>
      </c>
      <c r="I17" s="108" t="s">
        <v>433</v>
      </c>
    </row>
    <row r="18" customFormat="false" ht="30" hidden="false" customHeight="true" outlineLevel="0" collapsed="false">
      <c r="A18" s="134" t="n">
        <v>10</v>
      </c>
      <c r="B18" s="144" t="s">
        <v>845</v>
      </c>
      <c r="C18" s="171" t="s">
        <v>848</v>
      </c>
      <c r="D18" s="172" t="n">
        <v>2</v>
      </c>
      <c r="E18" s="136" t="n">
        <v>5000000</v>
      </c>
      <c r="F18" s="89" t="n">
        <f aca="false">D18/5*E18</f>
        <v>2000000</v>
      </c>
      <c r="G18" s="137" t="str">
        <f aca="false">IF(F18&gt;=1500000,"hoch",IF(F18&gt;=600000,"mittel","tief"))</f>
        <v>hoch</v>
      </c>
      <c r="H18" s="43" t="s">
        <v>849</v>
      </c>
      <c r="I18" s="108" t="s">
        <v>850</v>
      </c>
    </row>
    <row r="19" customFormat="false" ht="30" hidden="false" customHeight="true" outlineLevel="0" collapsed="false">
      <c r="A19" s="134" t="n">
        <v>11</v>
      </c>
      <c r="B19" s="144" t="s">
        <v>845</v>
      </c>
      <c r="C19" s="171" t="s">
        <v>851</v>
      </c>
      <c r="D19" s="172" t="n">
        <v>3</v>
      </c>
      <c r="E19" s="136" t="n">
        <v>1000000</v>
      </c>
      <c r="F19" s="89" t="n">
        <f aca="false">D19/5*E19</f>
        <v>600000</v>
      </c>
      <c r="G19" s="137" t="str">
        <f aca="false">IF(F19&gt;=1500000,"hoch",IF(F19&gt;=600000,"mittel","tief"))</f>
        <v>mittel</v>
      </c>
      <c r="H19" s="43" t="s">
        <v>852</v>
      </c>
      <c r="I19" s="108" t="s">
        <v>853</v>
      </c>
    </row>
    <row r="20" customFormat="false" ht="30" hidden="false" customHeight="true" outlineLevel="0" collapsed="false">
      <c r="A20" s="134" t="n">
        <v>12</v>
      </c>
      <c r="B20" s="144" t="s">
        <v>854</v>
      </c>
      <c r="C20" s="171" t="s">
        <v>855</v>
      </c>
      <c r="D20" s="172" t="n">
        <v>3</v>
      </c>
      <c r="E20" s="136" t="n">
        <v>800000</v>
      </c>
      <c r="F20" s="89" t="n">
        <f aca="false">D20/5*E20</f>
        <v>480000</v>
      </c>
      <c r="G20" s="137" t="str">
        <f aca="false">IF(F20&gt;=1500000,"hoch",IF(F20&gt;=600000,"mittel","tief"))</f>
        <v>tief</v>
      </c>
      <c r="H20" s="43" t="s">
        <v>856</v>
      </c>
      <c r="I20" s="108" t="s">
        <v>857</v>
      </c>
    </row>
    <row r="21" customFormat="false" ht="30" hidden="false" customHeight="true" outlineLevel="0" collapsed="false">
      <c r="A21" s="134" t="n">
        <v>13</v>
      </c>
      <c r="B21" s="144" t="s">
        <v>854</v>
      </c>
      <c r="C21" s="171" t="s">
        <v>858</v>
      </c>
      <c r="D21" s="172" t="n">
        <v>5</v>
      </c>
      <c r="E21" s="136" t="n">
        <v>684000</v>
      </c>
      <c r="F21" s="89" t="n">
        <f aca="false">D21/5*E21</f>
        <v>684000</v>
      </c>
      <c r="G21" s="137" t="str">
        <f aca="false">IF(F21&gt;=1500000,"hoch",IF(F21&gt;=600000,"mittel","tief"))</f>
        <v>mittel</v>
      </c>
      <c r="H21" s="43" t="s">
        <v>859</v>
      </c>
      <c r="I21" s="108" t="s">
        <v>833</v>
      </c>
    </row>
    <row r="22" customFormat="false" ht="30" hidden="false" customHeight="true" outlineLevel="0" collapsed="false">
      <c r="A22" s="134" t="n">
        <v>14</v>
      </c>
      <c r="B22" s="144" t="s">
        <v>860</v>
      </c>
      <c r="C22" s="171" t="s">
        <v>861</v>
      </c>
      <c r="D22" s="172" t="n">
        <v>3</v>
      </c>
      <c r="E22" s="136" t="n">
        <v>4600000</v>
      </c>
      <c r="F22" s="89" t="n">
        <f aca="false">D22/5*E22</f>
        <v>2760000</v>
      </c>
      <c r="G22" s="137" t="str">
        <f aca="false">IF(F22&gt;=1500000,"hoch",IF(F22&gt;=600000,"mittel","tief"))</f>
        <v>hoch</v>
      </c>
      <c r="H22" s="43" t="s">
        <v>862</v>
      </c>
      <c r="I22" s="108" t="s">
        <v>863</v>
      </c>
    </row>
    <row r="23" customFormat="false" ht="30" hidden="false" customHeight="true" outlineLevel="0" collapsed="false">
      <c r="A23" s="134" t="n">
        <v>15</v>
      </c>
      <c r="B23" s="144" t="s">
        <v>860</v>
      </c>
      <c r="C23" s="171" t="s">
        <v>864</v>
      </c>
      <c r="D23" s="172" t="n">
        <v>3</v>
      </c>
      <c r="E23" s="136" t="n">
        <v>2000000</v>
      </c>
      <c r="F23" s="89" t="n">
        <f aca="false">D23/5*E23</f>
        <v>1200000</v>
      </c>
      <c r="G23" s="137" t="str">
        <f aca="false">IF(F23&gt;=1500000,"hoch",IF(F23&gt;=600000,"mittel","tief"))</f>
        <v>mittel</v>
      </c>
      <c r="H23" s="43" t="s">
        <v>865</v>
      </c>
      <c r="I23" s="108" t="s">
        <v>863</v>
      </c>
    </row>
    <row r="24" customFormat="false" ht="30" hidden="false" customHeight="true" outlineLevel="0" collapsed="false">
      <c r="A24" s="134" t="n">
        <v>16</v>
      </c>
      <c r="B24" s="144" t="s">
        <v>866</v>
      </c>
      <c r="C24" s="171" t="s">
        <v>867</v>
      </c>
      <c r="D24" s="172" t="n">
        <v>3</v>
      </c>
      <c r="E24" s="136" t="n">
        <v>1500000</v>
      </c>
      <c r="F24" s="89" t="n">
        <f aca="false">D24/5*E24</f>
        <v>900000</v>
      </c>
      <c r="G24" s="137" t="str">
        <f aca="false">IF(F24&gt;=1500000,"hoch",IF(F24&gt;=600000,"mittel","tief"))</f>
        <v>mittel</v>
      </c>
      <c r="H24" s="43" t="s">
        <v>868</v>
      </c>
      <c r="I24" s="108" t="s">
        <v>869</v>
      </c>
    </row>
    <row r="25" customFormat="false" ht="19.5" hidden="false" customHeight="true" outlineLevel="0" collapsed="false">
      <c r="A25" s="2"/>
      <c r="B25" s="2"/>
      <c r="C25" s="173" t="s">
        <v>870</v>
      </c>
      <c r="D25" s="2"/>
      <c r="E25" s="174" t="n">
        <f aca="false">SUM(E9:E24)</f>
        <v>35884000</v>
      </c>
      <c r="F25" s="174" t="n">
        <f aca="false">SUM(F9:F24)</f>
        <v>23564000</v>
      </c>
      <c r="G25" s="2"/>
      <c r="H25" s="2"/>
      <c r="I25" s="2"/>
    </row>
    <row r="27" customFormat="false" ht="18" hidden="false" customHeight="true" outlineLevel="0" collapsed="false">
      <c r="A27" s="7" t="s">
        <v>871</v>
      </c>
      <c r="B27" s="8"/>
      <c r="C27" s="8"/>
      <c r="D27" s="8"/>
      <c r="E27" s="8"/>
      <c r="F27" s="8"/>
      <c r="G27" s="8"/>
      <c r="H27" s="8"/>
      <c r="I27" s="8"/>
      <c r="J27" s="8"/>
    </row>
    <row r="28" customFormat="false" ht="25.5" hidden="false" customHeight="true" outlineLevel="0" collapsed="false">
      <c r="A28" s="40"/>
      <c r="B28" s="175" t="s">
        <v>872</v>
      </c>
      <c r="C28" s="43" t="s">
        <v>873</v>
      </c>
      <c r="D28" s="43"/>
      <c r="E28" s="43"/>
      <c r="F28" s="43"/>
      <c r="G28" s="43"/>
      <c r="H28" s="43"/>
      <c r="I28" s="43"/>
    </row>
    <row r="29" customFormat="false" ht="25.5" hidden="false" customHeight="true" outlineLevel="0" collapsed="false">
      <c r="A29" s="40"/>
      <c r="B29" s="175" t="s">
        <v>874</v>
      </c>
      <c r="C29" s="43" t="s">
        <v>875</v>
      </c>
      <c r="D29" s="43"/>
      <c r="E29" s="43"/>
      <c r="F29" s="43"/>
      <c r="G29" s="43"/>
      <c r="H29" s="43"/>
      <c r="I29" s="43"/>
    </row>
    <row r="30" customFormat="false" ht="25.5" hidden="false" customHeight="true" outlineLevel="0" collapsed="false">
      <c r="A30" s="40"/>
      <c r="B30" s="175" t="s">
        <v>876</v>
      </c>
      <c r="C30" s="43" t="s">
        <v>877</v>
      </c>
      <c r="D30" s="43"/>
      <c r="E30" s="43"/>
      <c r="F30" s="43"/>
      <c r="G30" s="43"/>
      <c r="H30" s="43"/>
      <c r="I30" s="43"/>
    </row>
    <row r="31" customFormat="false" ht="25.5" hidden="false" customHeight="true" outlineLevel="0" collapsed="false">
      <c r="A31" s="40"/>
      <c r="B31" s="175" t="s">
        <v>878</v>
      </c>
      <c r="C31" s="43" t="s">
        <v>879</v>
      </c>
      <c r="D31" s="43"/>
      <c r="E31" s="43"/>
      <c r="F31" s="43"/>
      <c r="G31" s="43"/>
      <c r="H31" s="43"/>
      <c r="I31" s="43"/>
    </row>
    <row r="32" customFormat="false" ht="25.5" hidden="false" customHeight="true" outlineLevel="0" collapsed="false">
      <c r="A32" s="40"/>
      <c r="B32" s="175" t="s">
        <v>880</v>
      </c>
      <c r="C32" s="43" t="s">
        <v>881</v>
      </c>
      <c r="D32" s="43"/>
      <c r="E32" s="43"/>
      <c r="F32" s="43"/>
      <c r="G32" s="43"/>
      <c r="H32" s="43"/>
      <c r="I32" s="43"/>
    </row>
    <row r="33" customFormat="false" ht="25.5" hidden="false" customHeight="true" outlineLevel="0" collapsed="false">
      <c r="A33" s="40"/>
      <c r="B33" s="175" t="s">
        <v>882</v>
      </c>
      <c r="C33" s="43" t="s">
        <v>883</v>
      </c>
      <c r="D33" s="43"/>
      <c r="E33" s="43"/>
      <c r="F33" s="43"/>
      <c r="G33" s="43"/>
      <c r="H33" s="43"/>
      <c r="I33" s="43"/>
    </row>
  </sheetData>
  <mergeCells count="6">
    <mergeCell ref="C28:I28"/>
    <mergeCell ref="C29:I29"/>
    <mergeCell ref="C30:I30"/>
    <mergeCell ref="C31:I31"/>
    <mergeCell ref="C32:I32"/>
    <mergeCell ref="C33:I33"/>
  </mergeCells>
  <conditionalFormatting sqref="G9:G24">
    <cfRule type="expression" priority="2" aboveAverage="0" equalAverage="0" bottom="0" percent="0" rank="0" text="" dxfId="29">
      <formula>EXACT(G9,"hoch")</formula>
    </cfRule>
    <cfRule type="expression" priority="3" aboveAverage="0" equalAverage="0" bottom="0" percent="0" rank="0" text="" dxfId="28">
      <formula>EXACT(G9,"mittel")</formula>
    </cfRule>
    <cfRule type="expression" priority="4" aboveAverage="0" equalAverage="0" bottom="0" percent="0" rank="0" text="" dxfId="27">
      <formula>EXACT(G9,"tief")</formula>
    </cfRule>
  </conditionalFormatting>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6401F"/>
    <pageSetUpPr fitToPage="true"/>
  </sheetPr>
  <dimension ref="A1:K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48"/>
    <col collapsed="false" customWidth="true" hidden="false" outlineLevel="0" max="4" min="3" style="0" width="12"/>
    <col collapsed="false" customWidth="true" hidden="false" outlineLevel="0" max="9" min="5" style="0" width="16"/>
    <col collapsed="false" customWidth="true" hidden="false" outlineLevel="0" max="11" min="10" style="0" width="4"/>
  </cols>
  <sheetData>
    <row r="1" customFormat="false" ht="13.5" hidden="false" customHeight="true" outlineLevel="0" collapsed="false">
      <c r="A1" s="1" t="s">
        <v>0</v>
      </c>
      <c r="B1" s="2"/>
      <c r="C1" s="2"/>
      <c r="D1" s="2"/>
      <c r="E1" s="2"/>
      <c r="F1" s="2"/>
      <c r="G1" s="2"/>
      <c r="H1" s="2"/>
      <c r="I1" s="2"/>
      <c r="J1" s="2"/>
      <c r="K1" s="2"/>
    </row>
    <row r="2" customFormat="false" ht="24" hidden="false" customHeight="true" outlineLevel="0" collapsed="false">
      <c r="A2" s="3" t="s">
        <v>884</v>
      </c>
      <c r="B2" s="2"/>
      <c r="C2" s="2"/>
      <c r="D2" s="2"/>
      <c r="E2" s="2"/>
      <c r="F2" s="2"/>
      <c r="G2" s="2"/>
      <c r="H2" s="2"/>
      <c r="I2" s="2"/>
      <c r="J2" s="2"/>
      <c r="K2" s="2"/>
    </row>
    <row r="3" customFormat="false" ht="15.75" hidden="false" customHeight="true" outlineLevel="0" collapsed="false">
      <c r="A3" s="4" t="s">
        <v>885</v>
      </c>
      <c r="B3" s="2"/>
      <c r="C3" s="2"/>
      <c r="D3" s="2"/>
      <c r="E3" s="2"/>
      <c r="F3" s="2"/>
      <c r="G3" s="2"/>
      <c r="H3" s="2"/>
      <c r="I3" s="2"/>
      <c r="J3" s="2"/>
      <c r="K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886</v>
      </c>
      <c r="B7" s="8"/>
      <c r="C7" s="8"/>
      <c r="D7" s="8"/>
      <c r="E7" s="8"/>
      <c r="F7" s="8"/>
      <c r="G7" s="8"/>
      <c r="H7" s="8"/>
      <c r="I7" s="8"/>
      <c r="J7" s="8"/>
      <c r="K7" s="8"/>
    </row>
    <row r="8" customFormat="false" ht="27.75" hidden="false" customHeight="true" outlineLevel="0" collapsed="false">
      <c r="A8" s="39"/>
      <c r="B8" s="39" t="s">
        <v>687</v>
      </c>
      <c r="C8" s="39" t="s">
        <v>688</v>
      </c>
      <c r="D8" s="39" t="s">
        <v>684</v>
      </c>
      <c r="E8" s="39" t="s">
        <v>689</v>
      </c>
      <c r="F8" s="39" t="s">
        <v>887</v>
      </c>
      <c r="G8" s="39" t="s">
        <v>888</v>
      </c>
      <c r="H8" s="39" t="s">
        <v>889</v>
      </c>
      <c r="I8" s="39"/>
    </row>
    <row r="10" customFormat="false" ht="15" hidden="false" customHeight="true" outlineLevel="0" collapsed="false">
      <c r="A10" s="40"/>
      <c r="B10" s="114" t="s">
        <v>890</v>
      </c>
      <c r="C10" s="40"/>
      <c r="D10" s="40"/>
      <c r="E10" s="89" t="n">
        <f aca="false">F10+G10</f>
        <v>23716</v>
      </c>
      <c r="F10" s="136" t="n">
        <v>11366</v>
      </c>
      <c r="G10" s="136" t="n">
        <v>12350</v>
      </c>
      <c r="H10" s="40"/>
      <c r="I10" s="85" t="s">
        <v>157</v>
      </c>
    </row>
    <row r="11" customFormat="false" ht="15" hidden="false" customHeight="true" outlineLevel="0" collapsed="false">
      <c r="A11" s="40"/>
      <c r="B11" s="114" t="s">
        <v>891</v>
      </c>
      <c r="C11" s="40"/>
      <c r="D11" s="40"/>
      <c r="E11" s="142" t="n">
        <f aca="false">F11+G11+H11</f>
        <v>1</v>
      </c>
      <c r="F11" s="143" t="n">
        <v>0.4</v>
      </c>
      <c r="G11" s="143" t="n">
        <v>0.4</v>
      </c>
      <c r="H11" s="143" t="n">
        <v>0.2</v>
      </c>
      <c r="I11" s="85"/>
    </row>
    <row r="12" customFormat="false" ht="15" hidden="false" customHeight="true" outlineLevel="0" collapsed="false">
      <c r="A12" s="40"/>
      <c r="B12" s="114" t="s">
        <v>892</v>
      </c>
      <c r="C12" s="136" t="n">
        <v>23716</v>
      </c>
      <c r="D12" s="140" t="n">
        <v>200</v>
      </c>
      <c r="E12" s="89" t="n">
        <f aca="false">C12*D12</f>
        <v>4743200</v>
      </c>
      <c r="F12" s="136" t="n">
        <v>2273200</v>
      </c>
      <c r="G12" s="136" t="n">
        <v>2470000</v>
      </c>
      <c r="H12" s="40"/>
      <c r="I12" s="85"/>
    </row>
    <row r="13" customFormat="false" ht="15" hidden="false" customHeight="true" outlineLevel="0" collapsed="false">
      <c r="A13" s="40"/>
      <c r="B13" s="114" t="s">
        <v>893</v>
      </c>
      <c r="C13" s="136" t="n">
        <v>23716</v>
      </c>
      <c r="D13" s="140" t="n">
        <v>632.5</v>
      </c>
      <c r="E13" s="89" t="n">
        <f aca="false">C13*D13</f>
        <v>15000370</v>
      </c>
      <c r="F13" s="40"/>
      <c r="G13" s="40"/>
      <c r="H13" s="40"/>
      <c r="I13" s="85"/>
    </row>
    <row r="14" customFormat="false" ht="15" hidden="false" customHeight="true" outlineLevel="0" collapsed="false">
      <c r="A14" s="40"/>
      <c r="B14" s="114" t="s">
        <v>894</v>
      </c>
      <c r="C14" s="40"/>
      <c r="D14" s="40"/>
      <c r="E14" s="89" t="n">
        <f aca="false">E13-E12</f>
        <v>10257170</v>
      </c>
      <c r="F14" s="40"/>
      <c r="G14" s="40"/>
      <c r="H14" s="40"/>
      <c r="I14" s="85"/>
    </row>
    <row r="15" customFormat="false" ht="15" hidden="false" customHeight="true" outlineLevel="0" collapsed="false">
      <c r="A15" s="40"/>
      <c r="B15" s="114" t="s">
        <v>895</v>
      </c>
      <c r="C15" s="40"/>
      <c r="D15" s="40"/>
      <c r="E15" s="136" t="n">
        <v>-925000</v>
      </c>
      <c r="F15" s="40"/>
      <c r="G15" s="40"/>
      <c r="H15" s="40"/>
      <c r="I15" s="85"/>
    </row>
    <row r="16" customFormat="false" ht="15" hidden="false" customHeight="true" outlineLevel="0" collapsed="false">
      <c r="A16" s="40"/>
      <c r="B16" s="114" t="s">
        <v>896</v>
      </c>
      <c r="C16" s="40"/>
      <c r="D16" s="40"/>
      <c r="E16" s="136" t="n">
        <v>-300000</v>
      </c>
      <c r="F16" s="136" t="n">
        <v>-150000</v>
      </c>
      <c r="G16" s="136" t="n">
        <v>-150000</v>
      </c>
      <c r="H16" s="40"/>
      <c r="I16" s="85"/>
    </row>
    <row r="17" customFormat="false" ht="15" hidden="false" customHeight="true" outlineLevel="0" collapsed="false">
      <c r="A17" s="40"/>
      <c r="B17" s="114" t="s">
        <v>897</v>
      </c>
      <c r="C17" s="40"/>
      <c r="D17" s="40"/>
      <c r="E17" s="136" t="n">
        <v>-625000</v>
      </c>
      <c r="F17" s="40"/>
      <c r="G17" s="40"/>
      <c r="H17" s="136" t="n">
        <v>-625000</v>
      </c>
      <c r="I17" s="85"/>
    </row>
    <row r="18" customFormat="false" ht="15" hidden="false" customHeight="true" outlineLevel="0" collapsed="false">
      <c r="A18" s="40"/>
      <c r="B18" s="41" t="s">
        <v>898</v>
      </c>
      <c r="C18" s="40"/>
      <c r="D18" s="40"/>
      <c r="E18" s="89" t="n">
        <f aca="false">E14+E15</f>
        <v>9332170</v>
      </c>
      <c r="F18" s="136" t="n">
        <v>3732868</v>
      </c>
      <c r="G18" s="136" t="n">
        <v>3732868</v>
      </c>
      <c r="H18" s="136" t="n">
        <v>1866434</v>
      </c>
      <c r="I18" s="176" t="str">
        <f aca="false">IF(ROUND(E18-F18-G18-H18,0)=0,"Kontrolle ok","PRÜFEN")</f>
        <v>Kontrolle ok</v>
      </c>
    </row>
    <row r="19" customFormat="false" ht="15" hidden="false" customHeight="true" outlineLevel="0" collapsed="false">
      <c r="A19" s="40"/>
      <c r="B19" s="41" t="s">
        <v>899</v>
      </c>
      <c r="C19" s="40"/>
      <c r="D19" s="40"/>
      <c r="E19" s="89" t="n">
        <f aca="false">E13</f>
        <v>15000370</v>
      </c>
      <c r="F19" s="136" t="n">
        <v>6156068</v>
      </c>
      <c r="G19" s="136" t="n">
        <v>6352868</v>
      </c>
      <c r="H19" s="136" t="n">
        <v>2491434</v>
      </c>
      <c r="I19" s="176" t="str">
        <f aca="false">IF(ROUND(E19-F19-G19-H19,0)=0,"Kontrolle ok","PRÜFEN")</f>
        <v>Kontrolle ok</v>
      </c>
    </row>
    <row r="21" customFormat="false" ht="18" hidden="false" customHeight="true" outlineLevel="0" collapsed="false">
      <c r="A21" s="7" t="s">
        <v>900</v>
      </c>
      <c r="B21" s="8"/>
      <c r="C21" s="8"/>
      <c r="D21" s="8"/>
      <c r="E21" s="8"/>
      <c r="F21" s="8"/>
      <c r="G21" s="8"/>
      <c r="H21" s="8"/>
      <c r="I21" s="8"/>
      <c r="J21" s="8"/>
      <c r="K21" s="8"/>
    </row>
    <row r="22" customFormat="false" ht="15" hidden="false" customHeight="true" outlineLevel="0" collapsed="false">
      <c r="A22" s="40"/>
      <c r="B22" s="114" t="s">
        <v>901</v>
      </c>
      <c r="C22" s="40"/>
      <c r="D22" s="40"/>
      <c r="E22" s="40"/>
      <c r="F22" s="136" t="n">
        <v>200000</v>
      </c>
      <c r="G22" s="40"/>
      <c r="H22" s="40"/>
      <c r="I22" s="40"/>
    </row>
    <row r="23" customFormat="false" ht="15" hidden="false" customHeight="true" outlineLevel="0" collapsed="false">
      <c r="A23" s="40"/>
      <c r="B23" s="114" t="s">
        <v>902</v>
      </c>
      <c r="C23" s="40"/>
      <c r="D23" s="40"/>
      <c r="E23" s="40"/>
      <c r="F23" s="40"/>
      <c r="G23" s="40"/>
      <c r="H23" s="136" t="n">
        <v>1500000</v>
      </c>
      <c r="I23" s="40"/>
    </row>
    <row r="24" customFormat="false" ht="15" hidden="false" customHeight="true" outlineLevel="0" collapsed="false">
      <c r="A24" s="40"/>
      <c r="B24" s="114" t="s">
        <v>903</v>
      </c>
      <c r="C24" s="40"/>
      <c r="D24" s="40"/>
      <c r="E24" s="89" t="n">
        <f aca="false">E19+F22+H23</f>
        <v>16700370</v>
      </c>
      <c r="F24" s="89" t="n">
        <f aca="false">F19+F22</f>
        <v>6356068</v>
      </c>
      <c r="G24" s="89" t="n">
        <f aca="false">G19</f>
        <v>6352868</v>
      </c>
      <c r="H24" s="89" t="n">
        <f aca="false">H19+H23</f>
        <v>3991434</v>
      </c>
      <c r="I24" s="40"/>
    </row>
    <row r="25" customFormat="false" ht="15" hidden="false" customHeight="true" outlineLevel="0" collapsed="false">
      <c r="A25" s="40"/>
      <c r="B25" s="41" t="s">
        <v>904</v>
      </c>
      <c r="C25" s="40"/>
      <c r="D25" s="40"/>
      <c r="E25" s="177" t="n">
        <v>16800000</v>
      </c>
      <c r="F25" s="177" t="n">
        <v>6400000</v>
      </c>
      <c r="G25" s="177" t="n">
        <v>6400000</v>
      </c>
      <c r="H25" s="177" t="n">
        <v>4000000</v>
      </c>
      <c r="I25" s="40"/>
    </row>
    <row r="26" customFormat="false" ht="15" hidden="false" customHeight="true" outlineLevel="0" collapsed="false">
      <c r="A26" s="40"/>
      <c r="B26" s="114" t="s">
        <v>905</v>
      </c>
      <c r="C26" s="40"/>
      <c r="D26" s="40"/>
      <c r="E26" s="142" t="n">
        <f aca="false">E25/$E$25</f>
        <v>1</v>
      </c>
      <c r="F26" s="142" t="n">
        <f aca="false">F25/$E$25</f>
        <v>0.380952380952381</v>
      </c>
      <c r="G26" s="142" t="n">
        <f aca="false">G25/$E$25</f>
        <v>0.380952380952381</v>
      </c>
      <c r="H26" s="142" t="n">
        <f aca="false">H25/$E$25</f>
        <v>0.238095238095238</v>
      </c>
      <c r="I26" s="40"/>
    </row>
    <row r="28" customFormat="false" ht="18" hidden="false" customHeight="true" outlineLevel="0" collapsed="false">
      <c r="A28" s="7" t="s">
        <v>906</v>
      </c>
      <c r="B28" s="8"/>
      <c r="C28" s="8"/>
      <c r="D28" s="8"/>
      <c r="E28" s="8"/>
      <c r="F28" s="8"/>
      <c r="G28" s="8"/>
      <c r="H28" s="8"/>
      <c r="I28" s="8"/>
      <c r="J28" s="8"/>
      <c r="K28" s="8"/>
    </row>
    <row r="29" customFormat="false" ht="33.75" hidden="false" customHeight="true" outlineLevel="0" collapsed="false">
      <c r="A29" s="39"/>
      <c r="B29" s="39" t="s">
        <v>907</v>
      </c>
      <c r="C29" s="39"/>
      <c r="D29" s="39"/>
      <c r="E29" s="39" t="s">
        <v>689</v>
      </c>
      <c r="F29" s="39" t="s">
        <v>908</v>
      </c>
      <c r="G29" s="39" t="s">
        <v>909</v>
      </c>
      <c r="H29" s="39" t="s">
        <v>910</v>
      </c>
      <c r="I29" s="39" t="s">
        <v>911</v>
      </c>
    </row>
    <row r="30" customFormat="false" ht="15" hidden="false" customHeight="false" outlineLevel="0" collapsed="false">
      <c r="B30" s="178" t="s">
        <v>912</v>
      </c>
      <c r="E30" s="51" t="n">
        <v>1</v>
      </c>
      <c r="F30" s="51" t="n">
        <v>0.3</v>
      </c>
      <c r="G30" s="51" t="n">
        <v>0.3</v>
      </c>
      <c r="H30" s="51" t="n">
        <v>0.2</v>
      </c>
      <c r="I30" s="51" t="n">
        <v>0.2</v>
      </c>
    </row>
    <row r="31" customFormat="false" ht="15" hidden="false" customHeight="true" outlineLevel="0" collapsed="false">
      <c r="A31" s="40"/>
      <c r="B31" s="114" t="s">
        <v>913</v>
      </c>
      <c r="C31" s="40"/>
      <c r="D31" s="40"/>
      <c r="E31" s="136" t="n">
        <v>3000000</v>
      </c>
      <c r="F31" s="136" t="n">
        <v>1800000</v>
      </c>
      <c r="G31" s="40"/>
      <c r="H31" s="136" t="n">
        <v>1200000</v>
      </c>
      <c r="I31" s="40"/>
    </row>
    <row r="32" customFormat="false" ht="15" hidden="false" customHeight="true" outlineLevel="0" collapsed="false">
      <c r="A32" s="40"/>
      <c r="B32" s="114" t="s">
        <v>914</v>
      </c>
      <c r="C32" s="40"/>
      <c r="D32" s="40"/>
      <c r="E32" s="136" t="n">
        <v>1800000</v>
      </c>
      <c r="F32" s="40"/>
      <c r="G32" s="136" t="n">
        <v>1800000</v>
      </c>
      <c r="H32" s="40"/>
      <c r="I32" s="40"/>
    </row>
    <row r="33" customFormat="false" ht="15" hidden="false" customHeight="true" outlineLevel="0" collapsed="false">
      <c r="A33" s="40"/>
      <c r="B33" s="114" t="s">
        <v>915</v>
      </c>
      <c r="C33" s="40"/>
      <c r="D33" s="40"/>
      <c r="E33" s="136" t="n">
        <v>1200000</v>
      </c>
      <c r="F33" s="40"/>
      <c r="G33" s="40"/>
      <c r="H33" s="40"/>
      <c r="I33" s="136" t="n">
        <v>1200000</v>
      </c>
    </row>
    <row r="34" customFormat="false" ht="15" hidden="false" customHeight="true" outlineLevel="0" collapsed="false">
      <c r="A34" s="179"/>
      <c r="B34" s="127" t="s">
        <v>916</v>
      </c>
      <c r="C34" s="179"/>
      <c r="D34" s="179"/>
      <c r="E34" s="66" t="n">
        <f aca="false">SUM(E31:E33)</f>
        <v>6000000</v>
      </c>
      <c r="F34" s="66" t="n">
        <f aca="false">SUM(F31:F33)</f>
        <v>1800000</v>
      </c>
      <c r="G34" s="66" t="n">
        <f aca="false">SUM(G31:G33)</f>
        <v>1800000</v>
      </c>
      <c r="H34" s="66" t="n">
        <f aca="false">SUM(H31:H33)</f>
        <v>1200000</v>
      </c>
      <c r="I34" s="66" t="n">
        <f aca="false">SUM(I31:I33)</f>
        <v>1200000</v>
      </c>
    </row>
    <row r="35" customFormat="false" ht="15" hidden="false" customHeight="true" outlineLevel="0" collapsed="false">
      <c r="A35" s="40"/>
      <c r="B35" s="114" t="s">
        <v>917</v>
      </c>
      <c r="C35" s="40"/>
      <c r="D35" s="40"/>
      <c r="E35" s="89" t="n">
        <f aca="false">SUM(F35:I35)</f>
        <v>10400000</v>
      </c>
      <c r="F35" s="136" t="n">
        <v>2816000</v>
      </c>
      <c r="G35" s="136" t="n">
        <v>3584000</v>
      </c>
      <c r="H35" s="136" t="n">
        <v>4000000</v>
      </c>
      <c r="I35" s="40"/>
    </row>
    <row r="36" customFormat="false" ht="15" hidden="false" customHeight="true" outlineLevel="0" collapsed="false">
      <c r="A36" s="179"/>
      <c r="B36" s="127" t="s">
        <v>918</v>
      </c>
      <c r="C36" s="179"/>
      <c r="D36" s="179"/>
      <c r="E36" s="66" t="n">
        <f aca="false">E34+E35</f>
        <v>16400000</v>
      </c>
      <c r="F36" s="66" t="n">
        <f aca="false">F34+F35</f>
        <v>4616000</v>
      </c>
      <c r="G36" s="66" t="n">
        <f aca="false">G34+G35</f>
        <v>5384000</v>
      </c>
      <c r="H36" s="66" t="n">
        <f aca="false">H34+H35</f>
        <v>5200000</v>
      </c>
      <c r="I36" s="66" t="n">
        <f aca="false">I34+I35</f>
        <v>1200000</v>
      </c>
    </row>
    <row r="38" customFormat="false" ht="15" hidden="false" customHeight="false" outlineLevel="0" collapsed="false">
      <c r="B38" s="100" t="s">
        <v>919</v>
      </c>
      <c r="F38" s="180" t="n">
        <f aca="false">F36/$E$36</f>
        <v>0.281463414634146</v>
      </c>
      <c r="G38" s="180" t="n">
        <f aca="false">G36/$E$36</f>
        <v>0.328292682926829</v>
      </c>
      <c r="H38" s="180" t="n">
        <f aca="false">H36/$E$36</f>
        <v>0.317073170731707</v>
      </c>
      <c r="I38" s="180" t="n">
        <f aca="false">I36/$E$36</f>
        <v>0.0731707317073171</v>
      </c>
    </row>
    <row r="39" customFormat="false" ht="15" hidden="false" customHeight="false" outlineLevel="0" collapsed="false">
      <c r="B39" s="11" t="s">
        <v>920</v>
      </c>
      <c r="F39" s="59" t="n">
        <f aca="false">F36+G36</f>
        <v>10000000</v>
      </c>
    </row>
    <row r="40" customFormat="false" ht="15" hidden="false" customHeight="false" outlineLevel="0" collapsed="false">
      <c r="B40" s="11" t="s">
        <v>921</v>
      </c>
      <c r="H40" s="59" t="n">
        <f aca="false">H36+I36</f>
        <v>6400000</v>
      </c>
    </row>
    <row r="42" customFormat="false" ht="18" hidden="false" customHeight="true" outlineLevel="0" collapsed="false">
      <c r="A42" s="7" t="s">
        <v>922</v>
      </c>
      <c r="B42" s="8"/>
      <c r="C42" s="8"/>
      <c r="D42" s="8"/>
      <c r="E42" s="8"/>
      <c r="F42" s="8"/>
      <c r="G42" s="8"/>
      <c r="H42" s="8"/>
      <c r="I42" s="8"/>
      <c r="J42" s="8"/>
      <c r="K42" s="8"/>
    </row>
    <row r="43" customFormat="false" ht="21.75" hidden="false" customHeight="true" outlineLevel="0" collapsed="false">
      <c r="A43" s="40"/>
      <c r="B43" s="41" t="s">
        <v>923</v>
      </c>
      <c r="C43" s="40"/>
      <c r="D43" s="40"/>
      <c r="E43" s="177" t="n">
        <v>9802495</v>
      </c>
      <c r="F43" s="43" t="s">
        <v>924</v>
      </c>
      <c r="G43" s="43"/>
      <c r="H43" s="43"/>
      <c r="I43" s="43"/>
    </row>
    <row r="44" customFormat="false" ht="21.75" hidden="false" customHeight="true" outlineLevel="0" collapsed="false">
      <c r="A44" s="40"/>
      <c r="B44" s="41" t="s">
        <v>925</v>
      </c>
      <c r="C44" s="40"/>
      <c r="D44" s="40"/>
      <c r="E44" s="177" t="n">
        <v>7907495</v>
      </c>
      <c r="F44" s="43" t="s">
        <v>926</v>
      </c>
      <c r="G44" s="43"/>
      <c r="H44" s="43"/>
      <c r="I44" s="43"/>
    </row>
    <row r="45" customFormat="false" ht="21.75" hidden="false" customHeight="true" outlineLevel="0" collapsed="false">
      <c r="A45" s="40"/>
      <c r="B45" s="41" t="s">
        <v>927</v>
      </c>
      <c r="C45" s="40"/>
      <c r="D45" s="40"/>
      <c r="E45" s="177" t="n">
        <v>5000000</v>
      </c>
      <c r="F45" s="43" t="s">
        <v>928</v>
      </c>
      <c r="G45" s="43"/>
      <c r="H45" s="43"/>
      <c r="I45" s="43"/>
    </row>
    <row r="46" customFormat="false" ht="21.75" hidden="false" customHeight="true" outlineLevel="0" collapsed="false">
      <c r="A46" s="40"/>
      <c r="B46" s="41" t="s">
        <v>929</v>
      </c>
      <c r="C46" s="40"/>
      <c r="D46" s="40"/>
      <c r="E46" s="177" t="n">
        <v>2000000</v>
      </c>
      <c r="F46" s="43" t="s">
        <v>930</v>
      </c>
      <c r="G46" s="43"/>
      <c r="H46" s="43"/>
      <c r="I46" s="43"/>
    </row>
    <row r="47" customFormat="false" ht="21.75" hidden="false" customHeight="true" outlineLevel="0" collapsed="false">
      <c r="A47" s="40"/>
      <c r="B47" s="41" t="s">
        <v>931</v>
      </c>
      <c r="C47" s="40"/>
      <c r="D47" s="40"/>
      <c r="E47" s="177" t="n">
        <v>7000000</v>
      </c>
      <c r="F47" s="43" t="s">
        <v>932</v>
      </c>
      <c r="G47" s="43"/>
      <c r="H47" s="43"/>
      <c r="I47" s="43"/>
    </row>
    <row r="48" customFormat="false" ht="21.75" hidden="false" customHeight="true" outlineLevel="0" collapsed="false">
      <c r="A48" s="40"/>
      <c r="B48" s="41" t="s">
        <v>933</v>
      </c>
      <c r="C48" s="40"/>
      <c r="D48" s="40"/>
      <c r="E48" s="181" t="s">
        <v>934</v>
      </c>
      <c r="F48" s="43" t="s">
        <v>935</v>
      </c>
      <c r="G48" s="43"/>
      <c r="H48" s="43"/>
      <c r="I48" s="43"/>
    </row>
    <row r="50" customFormat="false" ht="21.75" hidden="false" customHeight="true" outlineLevel="0" collapsed="false">
      <c r="B50" s="13" t="s">
        <v>936</v>
      </c>
      <c r="C50" s="13"/>
      <c r="D50" s="13"/>
      <c r="E50" s="13"/>
      <c r="F50" s="13"/>
      <c r="G50" s="13"/>
      <c r="H50" s="13"/>
      <c r="I50" s="13"/>
    </row>
    <row r="51" customFormat="false" ht="21.75" hidden="false" customHeight="true" outlineLevel="0" collapsed="false">
      <c r="B51" s="13"/>
      <c r="C51" s="13"/>
      <c r="D51" s="13"/>
      <c r="E51" s="13"/>
      <c r="F51" s="13"/>
      <c r="G51" s="13"/>
      <c r="H51" s="13"/>
      <c r="I51" s="13"/>
    </row>
    <row r="52" customFormat="false" ht="21.75" hidden="false" customHeight="true" outlineLevel="0" collapsed="false">
      <c r="B52" s="13"/>
      <c r="C52" s="13"/>
      <c r="D52" s="13"/>
      <c r="E52" s="13"/>
      <c r="F52" s="13"/>
      <c r="G52" s="13"/>
      <c r="H52" s="13"/>
      <c r="I52" s="13"/>
    </row>
    <row r="53" customFormat="false" ht="21.75" hidden="false" customHeight="true" outlineLevel="0" collapsed="false">
      <c r="B53" s="13"/>
      <c r="C53" s="13"/>
      <c r="D53" s="13"/>
      <c r="E53" s="13"/>
      <c r="F53" s="13"/>
      <c r="G53" s="13"/>
      <c r="H53" s="13"/>
      <c r="I53" s="13"/>
    </row>
  </sheetData>
  <mergeCells count="7">
    <mergeCell ref="F43:I43"/>
    <mergeCell ref="F44:I44"/>
    <mergeCell ref="F45:I45"/>
    <mergeCell ref="F46:I46"/>
    <mergeCell ref="F47:I47"/>
    <mergeCell ref="F48:I48"/>
    <mergeCell ref="B50:I53"/>
  </mergeCells>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A7D20"/>
    <pageSetUpPr fitToPage="true"/>
  </sheetPr>
  <dimension ref="A1:H7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0" width="4"/>
    <col collapsed="false" customWidth="true" hidden="false" outlineLevel="0" max="3" min="3" style="0" width="62"/>
    <col collapsed="false" customWidth="true" hidden="false" outlineLevel="0" max="7" min="4" style="0" width="18"/>
    <col collapsed="false" customWidth="true" hidden="false" outlineLevel="0" max="8" min="8" style="0" width="4"/>
  </cols>
  <sheetData>
    <row r="1" customFormat="false" ht="13.5" hidden="false" customHeight="true" outlineLevel="0" collapsed="false">
      <c r="A1" s="1" t="s">
        <v>0</v>
      </c>
      <c r="B1" s="2"/>
      <c r="C1" s="2"/>
      <c r="D1" s="2"/>
      <c r="E1" s="2"/>
      <c r="F1" s="2"/>
      <c r="G1" s="2"/>
      <c r="H1" s="2"/>
    </row>
    <row r="2" customFormat="false" ht="24" hidden="false" customHeight="true" outlineLevel="0" collapsed="false">
      <c r="A2" s="3" t="s">
        <v>937</v>
      </c>
      <c r="B2" s="2"/>
      <c r="C2" s="2"/>
      <c r="D2" s="2"/>
      <c r="E2" s="2"/>
      <c r="F2" s="2"/>
      <c r="G2" s="2"/>
      <c r="H2" s="2"/>
    </row>
    <row r="3" customFormat="false" ht="15.75" hidden="false" customHeight="true" outlineLevel="0" collapsed="false">
      <c r="A3" s="4" t="s">
        <v>938</v>
      </c>
      <c r="B3" s="2"/>
      <c r="C3" s="2"/>
      <c r="D3" s="2"/>
      <c r="E3" s="2"/>
      <c r="F3" s="2"/>
      <c r="G3" s="2"/>
      <c r="H3" s="2"/>
    </row>
    <row r="4" customFormat="false" ht="7.5" hidden="false" customHeight="true" outlineLevel="0" collapsed="false"/>
    <row r="6" customFormat="false" ht="18" hidden="false" customHeight="true" outlineLevel="0" collapsed="false">
      <c r="A6" s="7" t="s">
        <v>939</v>
      </c>
      <c r="B6" s="8"/>
      <c r="C6" s="8"/>
      <c r="D6" s="8"/>
      <c r="E6" s="8"/>
      <c r="F6" s="8"/>
      <c r="G6" s="8"/>
      <c r="H6" s="8"/>
    </row>
    <row r="7" customFormat="false" ht="15" hidden="false" customHeight="true" outlineLevel="0" collapsed="false">
      <c r="C7" s="6" t="s">
        <v>940</v>
      </c>
      <c r="D7" s="6"/>
      <c r="E7" s="6"/>
      <c r="F7" s="6"/>
      <c r="G7" s="6"/>
    </row>
    <row r="8" customFormat="false" ht="15" hidden="false" customHeight="true" outlineLevel="0" collapsed="false">
      <c r="C8" s="6"/>
      <c r="D8" s="6"/>
      <c r="E8" s="6"/>
      <c r="F8" s="6"/>
      <c r="G8" s="6"/>
    </row>
    <row r="9" customFormat="false" ht="15" hidden="false" customHeight="true" outlineLevel="0" collapsed="false">
      <c r="C9" s="6"/>
      <c r="D9" s="6"/>
      <c r="E9" s="6"/>
      <c r="F9" s="6"/>
      <c r="G9" s="6"/>
    </row>
    <row r="10" customFormat="false" ht="15" hidden="false" customHeight="true" outlineLevel="0" collapsed="false">
      <c r="C10" s="6"/>
      <c r="D10" s="6"/>
      <c r="E10" s="6"/>
      <c r="F10" s="6"/>
      <c r="G10" s="6"/>
    </row>
    <row r="12" customFormat="false" ht="18" hidden="false" customHeight="true" outlineLevel="0" collapsed="false">
      <c r="A12" s="7" t="s">
        <v>941</v>
      </c>
      <c r="B12" s="8"/>
      <c r="C12" s="8"/>
      <c r="D12" s="8"/>
      <c r="E12" s="8"/>
      <c r="F12" s="8"/>
      <c r="G12" s="8"/>
      <c r="H12" s="8"/>
    </row>
    <row r="13" customFormat="false" ht="24" hidden="false" customHeight="true" outlineLevel="0" collapsed="false">
      <c r="A13" s="39"/>
      <c r="B13" s="39"/>
      <c r="C13" s="39" t="s">
        <v>942</v>
      </c>
      <c r="D13" s="39" t="s">
        <v>943</v>
      </c>
      <c r="E13" s="39" t="s">
        <v>944</v>
      </c>
      <c r="F13" s="39" t="s">
        <v>18</v>
      </c>
      <c r="G13" s="39" t="s">
        <v>552</v>
      </c>
    </row>
    <row r="14" customFormat="false" ht="15.75" hidden="false" customHeight="true" outlineLevel="0" collapsed="false">
      <c r="B14" s="40"/>
      <c r="C14" s="114" t="s">
        <v>945</v>
      </c>
      <c r="D14" s="89" t="n">
        <f aca="false">'04 Vergleich Hauptgruppen'!C15</f>
        <v>76000000</v>
      </c>
      <c r="E14" s="89" t="n">
        <f aca="false">'04 Vergleich Hauptgruppen'!E15</f>
        <v>75335790</v>
      </c>
      <c r="F14" s="117" t="n">
        <f aca="false">'04 Vergleich Hauptgruppen'!G15</f>
        <v>-664210</v>
      </c>
      <c r="G14" s="134" t="s">
        <v>946</v>
      </c>
    </row>
    <row r="15" customFormat="false" ht="15.75" hidden="false" customHeight="true" outlineLevel="0" collapsed="false">
      <c r="B15" s="40"/>
      <c r="C15" s="114" t="s">
        <v>947</v>
      </c>
      <c r="D15" s="89" t="n">
        <f aca="false">'03 KV-Vergleich Detail'!C19</f>
        <v>45704000</v>
      </c>
      <c r="E15" s="89" t="n">
        <f aca="false">'03 KV-Vergleich Detail'!E19</f>
        <v>45039790</v>
      </c>
      <c r="F15" s="117" t="n">
        <f aca="false">'03 KV-Vergleich Detail'!E19-'03 KV-Vergleich Detail'!C19</f>
        <v>-664210</v>
      </c>
      <c r="G15" s="134" t="s">
        <v>948</v>
      </c>
    </row>
    <row r="16" customFormat="false" ht="15.75" hidden="false" customHeight="true" outlineLevel="0" collapsed="false">
      <c r="B16" s="40"/>
      <c r="C16" s="114" t="s">
        <v>949</v>
      </c>
      <c r="D16" s="89" t="n">
        <f aca="false">'03 KV-Vergleich Detail'!C89</f>
        <v>7577290</v>
      </c>
      <c r="E16" s="89" t="n">
        <f aca="false">'03 KV-Vergleich Detail'!E89</f>
        <v>5884790</v>
      </c>
      <c r="F16" s="117" t="n">
        <f aca="false">'03 KV-Vergleich Detail'!E89-'03 KV-Vergleich Detail'!C89</f>
        <v>-1692500</v>
      </c>
      <c r="G16" s="134" t="s">
        <v>425</v>
      </c>
    </row>
    <row r="17" customFormat="false" ht="15.75" hidden="false" customHeight="true" outlineLevel="0" collapsed="false">
      <c r="B17" s="40"/>
      <c r="C17" s="114" t="s">
        <v>628</v>
      </c>
      <c r="D17" s="89" t="n">
        <f aca="false">'04 Vergleich Hauptgruppen'!I15</f>
        <v>3103.81442456914</v>
      </c>
      <c r="E17" s="89" t="n">
        <f aca="false">'04 Vergleich Hauptgruppen'!J15</f>
        <v>3076.68831168831</v>
      </c>
      <c r="F17" s="117" t="n">
        <f aca="false">'04 Vergleich Hauptgruppen'!J15-'04 Vergleich Hauptgruppen'!I15</f>
        <v>-27.1261128808296</v>
      </c>
      <c r="G17" s="134" t="s">
        <v>950</v>
      </c>
    </row>
    <row r="18" customFormat="false" ht="15.75" hidden="false" customHeight="true" outlineLevel="0" collapsed="false">
      <c r="B18" s="40"/>
      <c r="C18" s="114" t="s">
        <v>951</v>
      </c>
      <c r="D18" s="139" t="n">
        <f aca="false">'04 Vergleich Hauptgruppen'!C18</f>
        <v>652.914285714286</v>
      </c>
      <c r="E18" s="139" t="n">
        <f aca="false">'04 Vergleich Hauptgruppen'!E18</f>
        <v>643.425571428571</v>
      </c>
      <c r="F18" s="139" t="n">
        <f aca="false">'04 Vergleich Hauptgruppen'!E18-'04 Vergleich Hauptgruppen'!C18</f>
        <v>-9.48871428571431</v>
      </c>
      <c r="G18" s="134" t="s">
        <v>950</v>
      </c>
    </row>
    <row r="20" customFormat="false" ht="18" hidden="false" customHeight="true" outlineLevel="0" collapsed="false">
      <c r="A20" s="7" t="s">
        <v>952</v>
      </c>
      <c r="B20" s="8"/>
      <c r="C20" s="8"/>
      <c r="D20" s="8"/>
      <c r="E20" s="8"/>
      <c r="F20" s="8"/>
      <c r="G20" s="8"/>
      <c r="H20" s="8"/>
    </row>
    <row r="21" customFormat="false" ht="17.25" hidden="false" customHeight="true" outlineLevel="0" collapsed="false">
      <c r="B21" s="182" t="s">
        <v>953</v>
      </c>
      <c r="C21" s="183" t="s">
        <v>954</v>
      </c>
      <c r="D21" s="183"/>
      <c r="E21" s="183"/>
      <c r="F21" s="183"/>
      <c r="G21" s="183"/>
    </row>
    <row r="22" customFormat="false" ht="17.25" hidden="false" customHeight="true" outlineLevel="0" collapsed="false">
      <c r="C22" s="183"/>
      <c r="D22" s="183"/>
      <c r="E22" s="183"/>
      <c r="F22" s="183"/>
      <c r="G22" s="183"/>
    </row>
    <row r="24" customFormat="false" ht="17.25" hidden="false" customHeight="true" outlineLevel="0" collapsed="false">
      <c r="B24" s="182" t="s">
        <v>953</v>
      </c>
      <c r="C24" s="183" t="s">
        <v>955</v>
      </c>
      <c r="D24" s="183"/>
      <c r="E24" s="183"/>
      <c r="F24" s="183"/>
      <c r="G24" s="183"/>
    </row>
    <row r="25" customFormat="false" ht="17.25" hidden="false" customHeight="true" outlineLevel="0" collapsed="false">
      <c r="C25" s="183"/>
      <c r="D25" s="183"/>
      <c r="E25" s="183"/>
      <c r="F25" s="183"/>
      <c r="G25" s="183"/>
    </row>
    <row r="27" customFormat="false" ht="17.25" hidden="false" customHeight="true" outlineLevel="0" collapsed="false">
      <c r="B27" s="182" t="s">
        <v>953</v>
      </c>
      <c r="C27" s="183" t="s">
        <v>956</v>
      </c>
      <c r="D27" s="183"/>
      <c r="E27" s="183"/>
      <c r="F27" s="183"/>
      <c r="G27" s="183"/>
    </row>
    <row r="28" customFormat="false" ht="17.25" hidden="false" customHeight="true" outlineLevel="0" collapsed="false">
      <c r="C28" s="183"/>
      <c r="D28" s="183"/>
      <c r="E28" s="183"/>
      <c r="F28" s="183"/>
      <c r="G28" s="183"/>
    </row>
    <row r="30" customFormat="false" ht="13.5" hidden="false" customHeight="true" outlineLevel="0" collapsed="false">
      <c r="B30" s="182" t="s">
        <v>953</v>
      </c>
      <c r="C30" s="183" t="s">
        <v>957</v>
      </c>
      <c r="D30" s="183"/>
      <c r="E30" s="183"/>
      <c r="F30" s="183"/>
      <c r="G30" s="183"/>
    </row>
    <row r="31" customFormat="false" ht="13.5" hidden="false" customHeight="true" outlineLevel="0" collapsed="false">
      <c r="C31" s="183"/>
      <c r="D31" s="183"/>
      <c r="E31" s="183"/>
      <c r="F31" s="183"/>
      <c r="G31" s="183"/>
    </row>
    <row r="33" customFormat="false" ht="18" hidden="false" customHeight="true" outlineLevel="0" collapsed="false">
      <c r="A33" s="7" t="s">
        <v>958</v>
      </c>
      <c r="B33" s="8"/>
      <c r="C33" s="8"/>
      <c r="D33" s="8"/>
      <c r="E33" s="8"/>
      <c r="F33" s="8"/>
      <c r="G33" s="8"/>
      <c r="H33" s="8"/>
    </row>
    <row r="34" customFormat="false" ht="17.25" hidden="false" customHeight="true" outlineLevel="0" collapsed="false">
      <c r="B34" s="184" t="s">
        <v>163</v>
      </c>
      <c r="C34" s="183" t="s">
        <v>959</v>
      </c>
      <c r="D34" s="183"/>
      <c r="E34" s="183"/>
      <c r="F34" s="183"/>
      <c r="G34" s="183"/>
    </row>
    <row r="35" customFormat="false" ht="17.25" hidden="false" customHeight="true" outlineLevel="0" collapsed="false">
      <c r="C35" s="183"/>
      <c r="D35" s="183"/>
      <c r="E35" s="183"/>
      <c r="F35" s="183"/>
      <c r="G35" s="183"/>
    </row>
    <row r="37" customFormat="false" ht="17.25" hidden="false" customHeight="true" outlineLevel="0" collapsed="false">
      <c r="B37" s="184" t="s">
        <v>163</v>
      </c>
      <c r="C37" s="183" t="s">
        <v>960</v>
      </c>
      <c r="D37" s="183"/>
      <c r="E37" s="183"/>
      <c r="F37" s="183"/>
      <c r="G37" s="183"/>
    </row>
    <row r="38" customFormat="false" ht="17.25" hidden="false" customHeight="true" outlineLevel="0" collapsed="false">
      <c r="C38" s="183"/>
      <c r="D38" s="183"/>
      <c r="E38" s="183"/>
      <c r="F38" s="183"/>
      <c r="G38" s="183"/>
    </row>
    <row r="40" customFormat="false" ht="15" hidden="false" customHeight="true" outlineLevel="0" collapsed="false">
      <c r="B40" s="184" t="s">
        <v>163</v>
      </c>
      <c r="C40" s="183" t="s">
        <v>961</v>
      </c>
      <c r="D40" s="183"/>
      <c r="E40" s="183"/>
      <c r="F40" s="183"/>
      <c r="G40" s="183"/>
    </row>
    <row r="41" customFormat="false" ht="15" hidden="false" customHeight="true" outlineLevel="0" collapsed="false">
      <c r="C41" s="183"/>
      <c r="D41" s="183"/>
      <c r="E41" s="183"/>
      <c r="F41" s="183"/>
      <c r="G41" s="183"/>
    </row>
    <row r="43" customFormat="false" ht="17.25" hidden="false" customHeight="true" outlineLevel="0" collapsed="false">
      <c r="B43" s="184" t="s">
        <v>163</v>
      </c>
      <c r="C43" s="183" t="s">
        <v>962</v>
      </c>
      <c r="D43" s="183"/>
      <c r="E43" s="183"/>
      <c r="F43" s="183"/>
      <c r="G43" s="183"/>
    </row>
    <row r="44" customFormat="false" ht="17.25" hidden="false" customHeight="true" outlineLevel="0" collapsed="false">
      <c r="C44" s="183"/>
      <c r="D44" s="183"/>
      <c r="E44" s="183"/>
      <c r="F44" s="183"/>
      <c r="G44" s="183"/>
    </row>
    <row r="46" customFormat="false" ht="17.25" hidden="false" customHeight="true" outlineLevel="0" collapsed="false">
      <c r="B46" s="184" t="s">
        <v>163</v>
      </c>
      <c r="C46" s="183" t="s">
        <v>963</v>
      </c>
      <c r="D46" s="183"/>
      <c r="E46" s="183"/>
      <c r="F46" s="183"/>
      <c r="G46" s="183"/>
    </row>
    <row r="47" customFormat="false" ht="17.25" hidden="false" customHeight="true" outlineLevel="0" collapsed="false">
      <c r="C47" s="183"/>
      <c r="D47" s="183"/>
      <c r="E47" s="183"/>
      <c r="F47" s="183"/>
      <c r="G47" s="183"/>
    </row>
    <row r="49" customFormat="false" ht="18" hidden="false" customHeight="true" outlineLevel="0" collapsed="false">
      <c r="A49" s="7" t="s">
        <v>964</v>
      </c>
      <c r="B49" s="8"/>
      <c r="C49" s="8"/>
      <c r="D49" s="8"/>
      <c r="E49" s="8"/>
      <c r="F49" s="8"/>
      <c r="G49" s="8"/>
      <c r="H49" s="8"/>
    </row>
    <row r="50" customFormat="false" ht="24.75" hidden="false" customHeight="true" outlineLevel="0" collapsed="false">
      <c r="C50" s="6" t="s">
        <v>965</v>
      </c>
      <c r="D50" s="6"/>
      <c r="E50" s="6"/>
      <c r="F50" s="6"/>
      <c r="G50" s="6"/>
    </row>
    <row r="51" customFormat="false" ht="24.75" hidden="false" customHeight="true" outlineLevel="0" collapsed="false">
      <c r="C51" s="6"/>
      <c r="D51" s="6"/>
      <c r="E51" s="6"/>
      <c r="F51" s="6"/>
      <c r="G51" s="6"/>
    </row>
    <row r="52" customFormat="false" ht="24.75" hidden="false" customHeight="true" outlineLevel="0" collapsed="false">
      <c r="C52" s="6"/>
      <c r="D52" s="6"/>
      <c r="E52" s="6"/>
      <c r="F52" s="6"/>
      <c r="G52" s="6"/>
    </row>
    <row r="53" customFormat="false" ht="24.75" hidden="false" customHeight="true" outlineLevel="0" collapsed="false">
      <c r="C53" s="6"/>
      <c r="D53" s="6"/>
      <c r="E53" s="6"/>
      <c r="F53" s="6"/>
      <c r="G53" s="6"/>
    </row>
    <row r="54" customFormat="false" ht="24.75" hidden="false" customHeight="true" outlineLevel="0" collapsed="false">
      <c r="C54" s="6"/>
      <c r="D54" s="6"/>
      <c r="E54" s="6"/>
      <c r="F54" s="6"/>
      <c r="G54" s="6"/>
    </row>
    <row r="55" customFormat="false" ht="24.75" hidden="false" customHeight="true" outlineLevel="0" collapsed="false">
      <c r="C55" s="6"/>
      <c r="D55" s="6"/>
      <c r="E55" s="6"/>
      <c r="F55" s="6"/>
      <c r="G55" s="6"/>
    </row>
    <row r="56" customFormat="false" ht="24.75" hidden="false" customHeight="true" outlineLevel="0" collapsed="false">
      <c r="C56" s="6"/>
      <c r="D56" s="6"/>
      <c r="E56" s="6"/>
      <c r="F56" s="6"/>
      <c r="G56" s="6"/>
    </row>
    <row r="57" customFormat="false" ht="24.75" hidden="false" customHeight="true" outlineLevel="0" collapsed="false">
      <c r="C57" s="6"/>
      <c r="D57" s="6"/>
      <c r="E57" s="6"/>
      <c r="F57" s="6"/>
      <c r="G57" s="6"/>
    </row>
    <row r="58" customFormat="false" ht="24.75" hidden="false" customHeight="true" outlineLevel="0" collapsed="false">
      <c r="C58" s="6"/>
      <c r="D58" s="6"/>
      <c r="E58" s="6"/>
      <c r="F58" s="6"/>
      <c r="G58" s="6"/>
    </row>
    <row r="59" customFormat="false" ht="24.75" hidden="false" customHeight="true" outlineLevel="0" collapsed="false">
      <c r="C59" s="6"/>
      <c r="D59" s="6"/>
      <c r="E59" s="6"/>
      <c r="F59" s="6"/>
      <c r="G59" s="6"/>
    </row>
    <row r="60" customFormat="false" ht="24.75" hidden="false" customHeight="true" outlineLevel="0" collapsed="false">
      <c r="C60" s="6"/>
      <c r="D60" s="6"/>
      <c r="E60" s="6"/>
      <c r="F60" s="6"/>
      <c r="G60" s="6"/>
    </row>
    <row r="62" customFormat="false" ht="18" hidden="false" customHeight="true" outlineLevel="0" collapsed="false">
      <c r="A62" s="7" t="s">
        <v>966</v>
      </c>
      <c r="B62" s="8"/>
      <c r="C62" s="8"/>
      <c r="D62" s="8"/>
      <c r="E62" s="8"/>
      <c r="F62" s="8"/>
      <c r="G62" s="8"/>
      <c r="H62" s="8"/>
    </row>
    <row r="63" customFormat="false" ht="21.75" hidden="false" customHeight="true" outlineLevel="0" collapsed="false">
      <c r="A63" s="39"/>
      <c r="B63" s="39"/>
      <c r="C63" s="39" t="s">
        <v>572</v>
      </c>
      <c r="D63" s="39" t="s">
        <v>820</v>
      </c>
      <c r="E63" s="39" t="s">
        <v>967</v>
      </c>
      <c r="F63" s="39" t="s">
        <v>968</v>
      </c>
      <c r="G63" s="39"/>
    </row>
    <row r="64" customFormat="false" ht="15.75" hidden="false" customHeight="true" outlineLevel="0" collapsed="false">
      <c r="B64" s="133" t="s">
        <v>599</v>
      </c>
      <c r="C64" s="114" t="s">
        <v>969</v>
      </c>
      <c r="D64" s="108" t="s">
        <v>827</v>
      </c>
      <c r="E64" s="108" t="s">
        <v>970</v>
      </c>
      <c r="F64" s="108" t="s">
        <v>971</v>
      </c>
    </row>
    <row r="65" customFormat="false" ht="15.75" hidden="false" customHeight="true" outlineLevel="0" collapsed="false">
      <c r="B65" s="133" t="s">
        <v>599</v>
      </c>
      <c r="C65" s="114" t="s">
        <v>972</v>
      </c>
      <c r="D65" s="108" t="s">
        <v>833</v>
      </c>
      <c r="E65" s="108" t="s">
        <v>973</v>
      </c>
      <c r="F65" s="108" t="s">
        <v>974</v>
      </c>
    </row>
    <row r="66" customFormat="false" ht="15.75" hidden="false" customHeight="true" outlineLevel="0" collapsed="false">
      <c r="B66" s="133" t="s">
        <v>599</v>
      </c>
      <c r="C66" s="114" t="s">
        <v>975</v>
      </c>
      <c r="D66" s="108" t="s">
        <v>507</v>
      </c>
      <c r="E66" s="108" t="s">
        <v>976</v>
      </c>
      <c r="F66" s="108" t="s">
        <v>974</v>
      </c>
    </row>
    <row r="67" customFormat="false" ht="15.75" hidden="false" customHeight="true" outlineLevel="0" collapsed="false">
      <c r="B67" s="133" t="s">
        <v>599</v>
      </c>
      <c r="C67" s="114" t="s">
        <v>977</v>
      </c>
      <c r="D67" s="108" t="s">
        <v>850</v>
      </c>
      <c r="E67" s="108" t="s">
        <v>978</v>
      </c>
      <c r="F67" s="108" t="s">
        <v>979</v>
      </c>
    </row>
    <row r="68" customFormat="false" ht="15.75" hidden="false" customHeight="true" outlineLevel="0" collapsed="false">
      <c r="B68" s="133" t="s">
        <v>599</v>
      </c>
      <c r="C68" s="114" t="s">
        <v>980</v>
      </c>
      <c r="D68" s="108" t="s">
        <v>863</v>
      </c>
      <c r="E68" s="108" t="s">
        <v>981</v>
      </c>
      <c r="F68" s="108" t="s">
        <v>982</v>
      </c>
    </row>
    <row r="69" customFormat="false" ht="15.75" hidden="false" customHeight="true" outlineLevel="0" collapsed="false">
      <c r="B69" s="133" t="s">
        <v>599</v>
      </c>
      <c r="C69" s="114" t="s">
        <v>983</v>
      </c>
      <c r="D69" s="108" t="s">
        <v>433</v>
      </c>
      <c r="E69" s="108" t="s">
        <v>981</v>
      </c>
      <c r="F69" s="108" t="s">
        <v>979</v>
      </c>
    </row>
    <row r="70" customFormat="false" ht="15.75" hidden="false" customHeight="true" outlineLevel="0" collapsed="false">
      <c r="B70" s="133" t="s">
        <v>599</v>
      </c>
      <c r="C70" s="114" t="s">
        <v>984</v>
      </c>
      <c r="D70" s="108" t="s">
        <v>869</v>
      </c>
      <c r="E70" s="108" t="s">
        <v>985</v>
      </c>
      <c r="F70" s="108" t="s">
        <v>986</v>
      </c>
    </row>
    <row r="71" customFormat="false" ht="15.75" hidden="false" customHeight="true" outlineLevel="0" collapsed="false">
      <c r="B71" s="133" t="s">
        <v>599</v>
      </c>
      <c r="C71" s="114" t="s">
        <v>987</v>
      </c>
      <c r="D71" s="108" t="s">
        <v>839</v>
      </c>
      <c r="E71" s="108" t="s">
        <v>976</v>
      </c>
      <c r="F71" s="108" t="s">
        <v>974</v>
      </c>
    </row>
  </sheetData>
  <mergeCells count="11">
    <mergeCell ref="C7:G10"/>
    <mergeCell ref="C21:G22"/>
    <mergeCell ref="C24:G25"/>
    <mergeCell ref="C27:G28"/>
    <mergeCell ref="C30:G31"/>
    <mergeCell ref="C34:G35"/>
    <mergeCell ref="C37:G38"/>
    <mergeCell ref="C40:G41"/>
    <mergeCell ref="C43:G44"/>
    <mergeCell ref="C46:G47"/>
    <mergeCell ref="C50:G60"/>
  </mergeCells>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8705F"/>
    <pageSetUpPr fitToPage="true"/>
  </sheetPr>
  <dimension ref="A1:F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3" min="3" style="0" width="96"/>
    <col collapsed="false" customWidth="true" hidden="false" outlineLevel="0" max="4" min="4" style="0" width="22"/>
    <col collapsed="false" customWidth="true" hidden="false" outlineLevel="0" max="6" min="5" style="0" width="4"/>
  </cols>
  <sheetData>
    <row r="1" customFormat="false" ht="13.5" hidden="false" customHeight="true" outlineLevel="0" collapsed="false">
      <c r="A1" s="1" t="s">
        <v>0</v>
      </c>
      <c r="B1" s="2"/>
      <c r="C1" s="2"/>
      <c r="D1" s="2"/>
      <c r="E1" s="2"/>
      <c r="F1" s="2"/>
    </row>
    <row r="2" customFormat="false" ht="24" hidden="false" customHeight="true" outlineLevel="0" collapsed="false">
      <c r="A2" s="3" t="s">
        <v>988</v>
      </c>
      <c r="B2" s="2"/>
      <c r="C2" s="2"/>
      <c r="D2" s="2"/>
      <c r="E2" s="2"/>
      <c r="F2" s="2"/>
    </row>
    <row r="3" customFormat="false" ht="15.75" hidden="false" customHeight="true" outlineLevel="0" collapsed="false">
      <c r="A3" s="4" t="s">
        <v>989</v>
      </c>
      <c r="B3" s="2"/>
      <c r="C3" s="2"/>
      <c r="D3" s="2"/>
      <c r="E3" s="2"/>
      <c r="F3" s="2"/>
    </row>
    <row r="4" customFormat="false" ht="7.5" hidden="false" customHeight="true" outlineLevel="0" collapsed="false"/>
    <row r="7" customFormat="false" ht="18" hidden="false" customHeight="true" outlineLevel="0" collapsed="false">
      <c r="A7" s="7" t="s">
        <v>990</v>
      </c>
      <c r="B7" s="8"/>
      <c r="C7" s="8"/>
      <c r="D7" s="8"/>
      <c r="E7" s="8"/>
      <c r="F7" s="8"/>
    </row>
    <row r="8" customFormat="false" ht="39" hidden="false" customHeight="true" outlineLevel="0" collapsed="false">
      <c r="B8" s="185" t="s">
        <v>237</v>
      </c>
      <c r="C8" s="186" t="s">
        <v>991</v>
      </c>
      <c r="D8" s="187" t="s">
        <v>992</v>
      </c>
    </row>
    <row r="9" customFormat="false" ht="39" hidden="false" customHeight="true" outlineLevel="0" collapsed="false">
      <c r="B9" s="185" t="s">
        <v>993</v>
      </c>
      <c r="C9" s="186" t="s">
        <v>994</v>
      </c>
      <c r="D9" s="187" t="s">
        <v>995</v>
      </c>
    </row>
    <row r="10" customFormat="false" ht="25.5" hidden="false" customHeight="true" outlineLevel="0" collapsed="false">
      <c r="B10" s="185" t="s">
        <v>996</v>
      </c>
      <c r="C10" s="186" t="s">
        <v>997</v>
      </c>
      <c r="D10" s="187" t="s">
        <v>998</v>
      </c>
    </row>
    <row r="11" customFormat="false" ht="25.5" hidden="false" customHeight="true" outlineLevel="0" collapsed="false">
      <c r="B11" s="185" t="s">
        <v>999</v>
      </c>
      <c r="C11" s="186" t="s">
        <v>1000</v>
      </c>
      <c r="D11" s="187" t="s">
        <v>998</v>
      </c>
    </row>
    <row r="12" customFormat="false" ht="27.75" hidden="false" customHeight="true" outlineLevel="0" collapsed="false">
      <c r="B12" s="185" t="s">
        <v>1001</v>
      </c>
      <c r="C12" s="186" t="s">
        <v>1002</v>
      </c>
      <c r="D12" s="187" t="s">
        <v>998</v>
      </c>
    </row>
    <row r="13" customFormat="false" ht="25.5" hidden="false" customHeight="true" outlineLevel="0" collapsed="false">
      <c r="B13" s="185" t="s">
        <v>1003</v>
      </c>
      <c r="C13" s="186" t="s">
        <v>1004</v>
      </c>
      <c r="D13" s="187" t="s">
        <v>1005</v>
      </c>
    </row>
    <row r="14" customFormat="false" ht="27.75" hidden="false" customHeight="true" outlineLevel="0" collapsed="false">
      <c r="B14" s="185" t="s">
        <v>796</v>
      </c>
      <c r="C14" s="186" t="s">
        <v>1006</v>
      </c>
      <c r="D14" s="187"/>
    </row>
    <row r="15" customFormat="false" ht="27.75" hidden="false" customHeight="true" outlineLevel="0" collapsed="false">
      <c r="B15" s="185" t="s">
        <v>1007</v>
      </c>
      <c r="C15" s="186" t="s">
        <v>1008</v>
      </c>
      <c r="D15" s="187"/>
    </row>
    <row r="16" customFormat="false" ht="39" hidden="false" customHeight="true" outlineLevel="0" collapsed="false">
      <c r="B16" s="185" t="s">
        <v>1009</v>
      </c>
      <c r="C16" s="186" t="s">
        <v>1010</v>
      </c>
      <c r="D16" s="187"/>
    </row>
    <row r="17" customFormat="false" ht="27.75" hidden="false" customHeight="true" outlineLevel="0" collapsed="false">
      <c r="B17" s="185" t="s">
        <v>1011</v>
      </c>
      <c r="C17" s="186" t="s">
        <v>1012</v>
      </c>
      <c r="D17" s="187" t="s">
        <v>1013</v>
      </c>
    </row>
    <row r="18" customFormat="false" ht="18" hidden="false" customHeight="true" outlineLevel="0" collapsed="false">
      <c r="A18" s="7" t="s">
        <v>155</v>
      </c>
      <c r="B18" s="8"/>
      <c r="C18" s="8"/>
      <c r="D18" s="8"/>
      <c r="E18" s="8"/>
      <c r="F18" s="8"/>
    </row>
    <row r="19" customFormat="false" ht="25.5" hidden="false" customHeight="true" outlineLevel="0" collapsed="false">
      <c r="B19" s="185" t="s">
        <v>1014</v>
      </c>
      <c r="C19" s="186" t="s">
        <v>1015</v>
      </c>
      <c r="D19" s="187" t="s">
        <v>1016</v>
      </c>
    </row>
    <row r="20" customFormat="false" ht="27.75" hidden="false" customHeight="true" outlineLevel="0" collapsed="false">
      <c r="B20" s="185" t="s">
        <v>1017</v>
      </c>
      <c r="C20" s="186" t="s">
        <v>1018</v>
      </c>
      <c r="D20" s="187" t="s">
        <v>1016</v>
      </c>
    </row>
    <row r="21" customFormat="false" ht="25.5" hidden="false" customHeight="true" outlineLevel="0" collapsed="false">
      <c r="B21" s="185" t="s">
        <v>1019</v>
      </c>
      <c r="C21" s="186" t="s">
        <v>1020</v>
      </c>
      <c r="D21" s="187" t="s">
        <v>1016</v>
      </c>
    </row>
    <row r="22" customFormat="false" ht="25.5" hidden="false" customHeight="true" outlineLevel="0" collapsed="false">
      <c r="B22" s="185" t="s">
        <v>1021</v>
      </c>
      <c r="C22" s="186" t="s">
        <v>1022</v>
      </c>
      <c r="D22" s="187" t="s">
        <v>1016</v>
      </c>
    </row>
    <row r="23" customFormat="false" ht="27.75" hidden="false" customHeight="true" outlineLevel="0" collapsed="false">
      <c r="B23" s="185" t="s">
        <v>1023</v>
      </c>
      <c r="C23" s="186" t="s">
        <v>1024</v>
      </c>
      <c r="D23" s="187" t="s">
        <v>1025</v>
      </c>
    </row>
    <row r="24" customFormat="false" ht="27.75" hidden="false" customHeight="true" outlineLevel="0" collapsed="false">
      <c r="B24" s="185" t="s">
        <v>1026</v>
      </c>
      <c r="C24" s="186" t="s">
        <v>1027</v>
      </c>
      <c r="D24" s="187" t="s">
        <v>1028</v>
      </c>
    </row>
    <row r="25" customFormat="false" ht="18" hidden="false" customHeight="true" outlineLevel="0" collapsed="false">
      <c r="A25" s="7" t="s">
        <v>1029</v>
      </c>
      <c r="B25" s="8"/>
      <c r="C25" s="8"/>
      <c r="D25" s="8"/>
      <c r="E25" s="8"/>
      <c r="F25" s="8"/>
    </row>
    <row r="26" customFormat="false" ht="27.75" hidden="false" customHeight="true" outlineLevel="0" collapsed="false">
      <c r="B26" s="185" t="s">
        <v>1030</v>
      </c>
      <c r="C26" s="186" t="s">
        <v>1031</v>
      </c>
      <c r="D26" s="187" t="s">
        <v>1032</v>
      </c>
    </row>
    <row r="27" customFormat="false" ht="27.75" hidden="false" customHeight="true" outlineLevel="0" collapsed="false">
      <c r="B27" s="185" t="s">
        <v>1033</v>
      </c>
      <c r="C27" s="186" t="s">
        <v>1034</v>
      </c>
      <c r="D27" s="187" t="s">
        <v>1005</v>
      </c>
    </row>
    <row r="28" customFormat="false" ht="27.75" hidden="false" customHeight="true" outlineLevel="0" collapsed="false">
      <c r="B28" s="185" t="s">
        <v>1035</v>
      </c>
      <c r="C28" s="186" t="s">
        <v>1036</v>
      </c>
      <c r="D28" s="187"/>
    </row>
    <row r="29" customFormat="false" ht="27.75" hidden="false" customHeight="true" outlineLevel="0" collapsed="false">
      <c r="B29" s="185" t="s">
        <v>1037</v>
      </c>
      <c r="C29" s="186" t="s">
        <v>1038</v>
      </c>
      <c r="D29" s="187" t="s">
        <v>1039</v>
      </c>
    </row>
    <row r="30" customFormat="false" ht="27.75" hidden="false" customHeight="true" outlineLevel="0" collapsed="false">
      <c r="B30" s="185" t="s">
        <v>1040</v>
      </c>
      <c r="C30" s="186" t="s">
        <v>1041</v>
      </c>
      <c r="D30" s="187"/>
    </row>
    <row r="31" customFormat="false" ht="25.5" hidden="false" customHeight="true" outlineLevel="0" collapsed="false">
      <c r="B31" s="185" t="s">
        <v>1042</v>
      </c>
      <c r="C31" s="186" t="s">
        <v>1043</v>
      </c>
      <c r="D31" s="187" t="s">
        <v>1005</v>
      </c>
    </row>
    <row r="32" customFormat="false" ht="25.5" hidden="false" customHeight="true" outlineLevel="0" collapsed="false">
      <c r="B32" s="185" t="s">
        <v>1044</v>
      </c>
      <c r="C32" s="186" t="s">
        <v>1045</v>
      </c>
      <c r="D32" s="187" t="s">
        <v>1046</v>
      </c>
    </row>
    <row r="33" customFormat="false" ht="27.75" hidden="false" customHeight="true" outlineLevel="0" collapsed="false">
      <c r="B33" s="185" t="s">
        <v>1047</v>
      </c>
      <c r="C33" s="186" t="s">
        <v>1048</v>
      </c>
      <c r="D33" s="187" t="s">
        <v>1049</v>
      </c>
    </row>
    <row r="34" customFormat="false" ht="27.75" hidden="false" customHeight="true" outlineLevel="0" collapsed="false">
      <c r="B34" s="185" t="s">
        <v>1050</v>
      </c>
      <c r="C34" s="186" t="s">
        <v>1051</v>
      </c>
      <c r="D34" s="187" t="s">
        <v>1052</v>
      </c>
    </row>
    <row r="35" customFormat="false" ht="18" hidden="false" customHeight="true" outlineLevel="0" collapsed="false">
      <c r="A35" s="7" t="s">
        <v>1053</v>
      </c>
      <c r="B35" s="8"/>
      <c r="C35" s="8"/>
      <c r="D35" s="8"/>
      <c r="E35" s="8"/>
      <c r="F35" s="8"/>
    </row>
    <row r="36" customFormat="false" ht="27.75" hidden="false" customHeight="true" outlineLevel="0" collapsed="false">
      <c r="B36" s="185" t="s">
        <v>797</v>
      </c>
      <c r="C36" s="186" t="s">
        <v>1054</v>
      </c>
      <c r="D36" s="187"/>
    </row>
    <row r="37" customFormat="false" ht="25.5" hidden="false" customHeight="true" outlineLevel="0" collapsed="false">
      <c r="B37" s="185" t="s">
        <v>723</v>
      </c>
      <c r="C37" s="186" t="s">
        <v>1055</v>
      </c>
      <c r="D37" s="187"/>
    </row>
    <row r="38" customFormat="false" ht="27.75" hidden="false" customHeight="true" outlineLevel="0" collapsed="false">
      <c r="B38" s="185" t="s">
        <v>1056</v>
      </c>
      <c r="C38" s="186" t="s">
        <v>1057</v>
      </c>
      <c r="D38" s="187"/>
    </row>
    <row r="39" customFormat="false" ht="25.5" hidden="false" customHeight="true" outlineLevel="0" collapsed="false">
      <c r="B39" s="185" t="s">
        <v>1058</v>
      </c>
      <c r="C39" s="186" t="s">
        <v>1059</v>
      </c>
      <c r="D39" s="187"/>
    </row>
    <row r="40" customFormat="false" ht="27.75" hidden="false" customHeight="true" outlineLevel="0" collapsed="false">
      <c r="B40" s="185" t="s">
        <v>1060</v>
      </c>
      <c r="C40" s="186" t="s">
        <v>1061</v>
      </c>
      <c r="D40" s="187"/>
    </row>
    <row r="41" customFormat="false" ht="27.75" hidden="false" customHeight="true" outlineLevel="0" collapsed="false">
      <c r="B41" s="185" t="s">
        <v>741</v>
      </c>
      <c r="C41" s="186" t="s">
        <v>1062</v>
      </c>
      <c r="D41" s="187"/>
    </row>
    <row r="42" customFormat="false" ht="27.75" hidden="false" customHeight="true" outlineLevel="0" collapsed="false">
      <c r="B42" s="185" t="s">
        <v>802</v>
      </c>
      <c r="C42" s="186" t="s">
        <v>1063</v>
      </c>
      <c r="D42" s="187"/>
    </row>
    <row r="43" customFormat="false" ht="27.75" hidden="false" customHeight="true" outlineLevel="0" collapsed="false">
      <c r="B43" s="185" t="s">
        <v>1064</v>
      </c>
      <c r="C43" s="186" t="s">
        <v>1065</v>
      </c>
      <c r="D43" s="187" t="s">
        <v>1066</v>
      </c>
    </row>
    <row r="44" customFormat="false" ht="27.75" hidden="false" customHeight="true" outlineLevel="0" collapsed="false">
      <c r="B44" s="185" t="s">
        <v>1067</v>
      </c>
      <c r="C44" s="186" t="s">
        <v>1068</v>
      </c>
      <c r="D44" s="187"/>
    </row>
    <row r="45" customFormat="false" ht="27.75" hidden="false" customHeight="true" outlineLevel="0" collapsed="false">
      <c r="B45" s="185" t="s">
        <v>1069</v>
      </c>
      <c r="C45" s="186" t="s">
        <v>1070</v>
      </c>
      <c r="D45" s="187"/>
    </row>
    <row r="46" customFormat="false" ht="27.75" hidden="false" customHeight="true" outlineLevel="0" collapsed="false">
      <c r="B46" s="185" t="s">
        <v>1071</v>
      </c>
      <c r="C46" s="186" t="s">
        <v>1072</v>
      </c>
      <c r="D46" s="187"/>
    </row>
    <row r="47" customFormat="false" ht="18" hidden="false" customHeight="true" outlineLevel="0" collapsed="false">
      <c r="A47" s="7" t="s">
        <v>1073</v>
      </c>
      <c r="B47" s="8"/>
      <c r="C47" s="8"/>
      <c r="D47" s="8"/>
      <c r="E47" s="8"/>
      <c r="F47" s="8"/>
    </row>
    <row r="48" customFormat="false" ht="27.75" hidden="false" customHeight="true" outlineLevel="0" collapsed="false">
      <c r="B48" s="185" t="s">
        <v>872</v>
      </c>
      <c r="C48" s="186" t="s">
        <v>1074</v>
      </c>
      <c r="D48" s="187" t="s">
        <v>1075</v>
      </c>
    </row>
    <row r="49" customFormat="false" ht="27.75" hidden="false" customHeight="true" outlineLevel="0" collapsed="false">
      <c r="B49" s="185" t="s">
        <v>1076</v>
      </c>
      <c r="C49" s="186" t="s">
        <v>1077</v>
      </c>
      <c r="D49" s="187" t="s">
        <v>1078</v>
      </c>
    </row>
    <row r="50" customFormat="false" ht="25.5" hidden="false" customHeight="true" outlineLevel="0" collapsed="false">
      <c r="B50" s="185" t="s">
        <v>1079</v>
      </c>
      <c r="C50" s="186" t="s">
        <v>1080</v>
      </c>
      <c r="D50" s="187"/>
    </row>
    <row r="51" customFormat="false" ht="27.75" hidden="false" customHeight="true" outlineLevel="0" collapsed="false">
      <c r="B51" s="185" t="s">
        <v>934</v>
      </c>
      <c r="C51" s="186" t="s">
        <v>1081</v>
      </c>
      <c r="D51" s="187"/>
    </row>
    <row r="52" customFormat="false" ht="27.75" hidden="false" customHeight="true" outlineLevel="0" collapsed="false">
      <c r="B52" s="185" t="s">
        <v>1082</v>
      </c>
      <c r="C52" s="186" t="s">
        <v>1083</v>
      </c>
      <c r="D52" s="187" t="s">
        <v>1084</v>
      </c>
    </row>
    <row r="53" customFormat="false" ht="27.75" hidden="false" customHeight="true" outlineLevel="0" collapsed="false">
      <c r="B53" s="185" t="s">
        <v>1085</v>
      </c>
      <c r="C53" s="186" t="s">
        <v>1086</v>
      </c>
      <c r="D53" s="187" t="s">
        <v>1087</v>
      </c>
    </row>
  </sheetData>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8705F"/>
    <pageSetUpPr fitToPage="true"/>
  </sheetPr>
  <dimension ref="A1:G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3" min="3" style="0" width="34"/>
    <col collapsed="false" customWidth="true" hidden="false" outlineLevel="0" max="4" min="4" style="0" width="62"/>
    <col collapsed="false" customWidth="true" hidden="false" outlineLevel="0" max="5" min="5" style="0" width="30"/>
    <col collapsed="false" customWidth="true" hidden="false" outlineLevel="0" max="7" min="6" style="0" width="4"/>
  </cols>
  <sheetData>
    <row r="1" customFormat="false" ht="13.5" hidden="false" customHeight="true" outlineLevel="0" collapsed="false">
      <c r="A1" s="1" t="s">
        <v>0</v>
      </c>
      <c r="B1" s="2"/>
      <c r="C1" s="2"/>
      <c r="D1" s="2"/>
      <c r="E1" s="2"/>
      <c r="F1" s="2"/>
      <c r="G1" s="2"/>
    </row>
    <row r="2" customFormat="false" ht="24" hidden="false" customHeight="true" outlineLevel="0" collapsed="false">
      <c r="A2" s="3" t="s">
        <v>1088</v>
      </c>
      <c r="B2" s="2"/>
      <c r="C2" s="2"/>
      <c r="D2" s="2"/>
      <c r="E2" s="2"/>
      <c r="F2" s="2"/>
      <c r="G2" s="2"/>
    </row>
    <row r="3" customFormat="false" ht="15.75" hidden="false" customHeight="true" outlineLevel="0" collapsed="false">
      <c r="A3" s="4" t="s">
        <v>1089</v>
      </c>
      <c r="B3" s="2"/>
      <c r="C3" s="2"/>
      <c r="D3" s="2"/>
      <c r="E3" s="2"/>
      <c r="F3" s="2"/>
      <c r="G3" s="2"/>
    </row>
    <row r="4" customFormat="false" ht="7.5" hidden="false" customHeight="true" outlineLevel="0" collapsed="false"/>
    <row r="6" customFormat="false" ht="18" hidden="false" customHeight="true" outlineLevel="0" collapsed="false">
      <c r="A6" s="7" t="s">
        <v>1090</v>
      </c>
      <c r="B6" s="8"/>
      <c r="C6" s="8"/>
      <c r="D6" s="8"/>
      <c r="E6" s="8"/>
      <c r="F6" s="8"/>
      <c r="G6" s="8"/>
    </row>
    <row r="7" customFormat="false" ht="24" hidden="false" customHeight="true" outlineLevel="0" collapsed="false">
      <c r="A7" s="39"/>
      <c r="B7" s="39" t="s">
        <v>1091</v>
      </c>
      <c r="C7" s="39" t="s">
        <v>1092</v>
      </c>
      <c r="D7" s="39" t="s">
        <v>1093</v>
      </c>
      <c r="E7" s="39" t="s">
        <v>1094</v>
      </c>
    </row>
    <row r="8" customFormat="false" ht="39.75" hidden="false" customHeight="true" outlineLevel="0" collapsed="false">
      <c r="B8" s="185" t="s">
        <v>27</v>
      </c>
      <c r="C8" s="187" t="s">
        <v>1095</v>
      </c>
      <c r="D8" s="188" t="s">
        <v>1096</v>
      </c>
      <c r="E8" s="189" t="s">
        <v>1097</v>
      </c>
    </row>
    <row r="9" customFormat="false" ht="39.75" hidden="false" customHeight="true" outlineLevel="0" collapsed="false">
      <c r="B9" s="185" t="s">
        <v>29</v>
      </c>
      <c r="C9" s="187" t="s">
        <v>1098</v>
      </c>
      <c r="D9" s="188" t="s">
        <v>1099</v>
      </c>
      <c r="E9" s="190" t="s">
        <v>1100</v>
      </c>
    </row>
    <row r="10" customFormat="false" ht="39.75" hidden="false" customHeight="true" outlineLevel="0" collapsed="false">
      <c r="B10" s="185" t="s">
        <v>31</v>
      </c>
      <c r="C10" s="187" t="s">
        <v>1098</v>
      </c>
      <c r="D10" s="188" t="s">
        <v>1101</v>
      </c>
      <c r="E10" s="190" t="s">
        <v>1102</v>
      </c>
    </row>
    <row r="11" customFormat="false" ht="39.75" hidden="false" customHeight="true" outlineLevel="0" collapsed="false">
      <c r="B11" s="185" t="s">
        <v>33</v>
      </c>
      <c r="C11" s="187" t="s">
        <v>1103</v>
      </c>
      <c r="D11" s="188" t="s">
        <v>1104</v>
      </c>
      <c r="E11" s="191" t="s">
        <v>1105</v>
      </c>
    </row>
    <row r="12" customFormat="false" ht="39.75" hidden="false" customHeight="true" outlineLevel="0" collapsed="false">
      <c r="B12" s="185" t="s">
        <v>35</v>
      </c>
      <c r="C12" s="187" t="s">
        <v>1106</v>
      </c>
      <c r="D12" s="188" t="s">
        <v>1107</v>
      </c>
      <c r="E12" s="189" t="s">
        <v>1097</v>
      </c>
    </row>
    <row r="13" customFormat="false" ht="39.75" hidden="false" customHeight="true" outlineLevel="0" collapsed="false">
      <c r="B13" s="185" t="s">
        <v>37</v>
      </c>
      <c r="C13" s="187" t="s">
        <v>1108</v>
      </c>
      <c r="D13" s="188" t="s">
        <v>1109</v>
      </c>
      <c r="E13" s="190" t="s">
        <v>1110</v>
      </c>
    </row>
    <row r="14" customFormat="false" ht="39.75" hidden="false" customHeight="true" outlineLevel="0" collapsed="false">
      <c r="B14" s="185" t="s">
        <v>39</v>
      </c>
      <c r="C14" s="187" t="s">
        <v>1111</v>
      </c>
      <c r="D14" s="188" t="s">
        <v>1112</v>
      </c>
      <c r="E14" s="190" t="s">
        <v>1100</v>
      </c>
    </row>
    <row r="15" customFormat="false" ht="39.75" hidden="false" customHeight="true" outlineLevel="0" collapsed="false">
      <c r="B15" s="185" t="s">
        <v>41</v>
      </c>
      <c r="C15" s="187" t="s">
        <v>1111</v>
      </c>
      <c r="D15" s="188" t="s">
        <v>1113</v>
      </c>
      <c r="E15" s="191" t="s">
        <v>1114</v>
      </c>
    </row>
    <row r="16" customFormat="false" ht="39.75" hidden="false" customHeight="true" outlineLevel="0" collapsed="false">
      <c r="B16" s="185" t="s">
        <v>43</v>
      </c>
      <c r="C16" s="187" t="s">
        <v>1115</v>
      </c>
      <c r="D16" s="188" t="s">
        <v>1116</v>
      </c>
      <c r="E16" s="190" t="s">
        <v>1117</v>
      </c>
    </row>
    <row r="17" customFormat="false" ht="39.75" hidden="false" customHeight="true" outlineLevel="0" collapsed="false">
      <c r="B17" s="185" t="s">
        <v>45</v>
      </c>
      <c r="C17" s="187" t="s">
        <v>1118</v>
      </c>
      <c r="D17" s="188" t="s">
        <v>1119</v>
      </c>
      <c r="E17" s="189" t="s">
        <v>1120</v>
      </c>
    </row>
    <row r="18" customFormat="false" ht="39.75" hidden="false" customHeight="true" outlineLevel="0" collapsed="false">
      <c r="B18" s="185" t="s">
        <v>47</v>
      </c>
      <c r="C18" s="187" t="s">
        <v>1121</v>
      </c>
      <c r="D18" s="188" t="s">
        <v>1122</v>
      </c>
      <c r="E18" s="190" t="s">
        <v>1117</v>
      </c>
    </row>
    <row r="20" customFormat="false" ht="18" hidden="false" customHeight="true" outlineLevel="0" collapsed="false">
      <c r="A20" s="7" t="s">
        <v>1123</v>
      </c>
      <c r="B20" s="8"/>
      <c r="C20" s="8"/>
      <c r="D20" s="8"/>
      <c r="E20" s="8"/>
      <c r="F20" s="8"/>
      <c r="G20" s="8"/>
    </row>
    <row r="21" customFormat="false" ht="33.75" hidden="false" customHeight="true" outlineLevel="0" collapsed="false">
      <c r="B21" s="185" t="s">
        <v>1124</v>
      </c>
      <c r="C21" s="187" t="s">
        <v>1125</v>
      </c>
      <c r="D21" s="187"/>
      <c r="E21" s="187"/>
    </row>
    <row r="22" customFormat="false" ht="33.75" hidden="false" customHeight="true" outlineLevel="0" collapsed="false">
      <c r="B22" s="185" t="s">
        <v>726</v>
      </c>
      <c r="C22" s="187" t="s">
        <v>1126</v>
      </c>
      <c r="D22" s="187"/>
      <c r="E22" s="187"/>
    </row>
    <row r="23" customFormat="false" ht="33.75" hidden="false" customHeight="true" outlineLevel="0" collapsed="false">
      <c r="B23" s="185" t="s">
        <v>802</v>
      </c>
      <c r="C23" s="187" t="s">
        <v>1127</v>
      </c>
      <c r="D23" s="187"/>
      <c r="E23" s="187"/>
    </row>
    <row r="24" customFormat="false" ht="33.75" hidden="false" customHeight="true" outlineLevel="0" collapsed="false">
      <c r="B24" s="185" t="s">
        <v>804</v>
      </c>
      <c r="C24" s="187" t="s">
        <v>1128</v>
      </c>
      <c r="D24" s="187"/>
      <c r="E24" s="187"/>
    </row>
    <row r="25" customFormat="false" ht="33.75" hidden="false" customHeight="true" outlineLevel="0" collapsed="false">
      <c r="B25" s="185" t="s">
        <v>1129</v>
      </c>
      <c r="C25" s="187" t="s">
        <v>1130</v>
      </c>
      <c r="D25" s="187"/>
      <c r="E25" s="187"/>
    </row>
    <row r="26" customFormat="false" ht="33.75" hidden="false" customHeight="true" outlineLevel="0" collapsed="false">
      <c r="B26" s="185" t="s">
        <v>1131</v>
      </c>
      <c r="C26" s="187" t="s">
        <v>1132</v>
      </c>
      <c r="D26" s="187"/>
      <c r="E26" s="187"/>
    </row>
    <row r="27" customFormat="false" ht="33.75" hidden="false" customHeight="true" outlineLevel="0" collapsed="false">
      <c r="B27" s="185" t="s">
        <v>1133</v>
      </c>
      <c r="C27" s="187" t="s">
        <v>1134</v>
      </c>
      <c r="D27" s="187"/>
      <c r="E27" s="187"/>
    </row>
    <row r="29" customFormat="false" ht="18" hidden="false" customHeight="true" outlineLevel="0" collapsed="false">
      <c r="A29" s="7" t="s">
        <v>1135</v>
      </c>
      <c r="B29" s="8"/>
      <c r="C29" s="8"/>
      <c r="D29" s="8"/>
      <c r="E29" s="8"/>
      <c r="F29" s="8"/>
      <c r="G29" s="8"/>
    </row>
    <row r="30" customFormat="false" ht="18.75" hidden="false" customHeight="true" outlineLevel="0" collapsed="false">
      <c r="B30" s="13" t="s">
        <v>1136</v>
      </c>
      <c r="C30" s="13"/>
      <c r="D30" s="13"/>
      <c r="E30" s="13"/>
    </row>
    <row r="31" customFormat="false" ht="18.75" hidden="false" customHeight="true" outlineLevel="0" collapsed="false">
      <c r="B31" s="13"/>
      <c r="C31" s="13"/>
      <c r="D31" s="13"/>
      <c r="E31" s="13"/>
    </row>
    <row r="32" customFormat="false" ht="18.75" hidden="false" customHeight="true" outlineLevel="0" collapsed="false">
      <c r="B32" s="13"/>
      <c r="C32" s="13"/>
      <c r="D32" s="13"/>
      <c r="E32" s="13"/>
    </row>
    <row r="33" customFormat="false" ht="18.75" hidden="false" customHeight="true" outlineLevel="0" collapsed="false">
      <c r="B33" s="13"/>
      <c r="C33" s="13"/>
      <c r="D33" s="13"/>
      <c r="E33" s="13"/>
    </row>
    <row r="34" customFormat="false" ht="18.75" hidden="false" customHeight="true" outlineLevel="0" collapsed="false">
      <c r="B34" s="13"/>
      <c r="C34" s="13"/>
      <c r="D34" s="13"/>
      <c r="E34" s="13"/>
    </row>
    <row r="35" customFormat="false" ht="18.75" hidden="false" customHeight="true" outlineLevel="0" collapsed="false">
      <c r="B35" s="13"/>
      <c r="C35" s="13"/>
      <c r="D35" s="13"/>
      <c r="E35" s="13"/>
    </row>
  </sheetData>
  <mergeCells count="8">
    <mergeCell ref="C21:E21"/>
    <mergeCell ref="C22:E22"/>
    <mergeCell ref="C23:E23"/>
    <mergeCell ref="C24:E24"/>
    <mergeCell ref="C25:E25"/>
    <mergeCell ref="C26:E26"/>
    <mergeCell ref="C27:E27"/>
    <mergeCell ref="B30:E35"/>
  </mergeCells>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A7D20"/>
    <pageSetUpPr fitToPage="true"/>
  </sheetPr>
  <dimension ref="A1:N41"/>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7" min="2" style="0" width="21"/>
    <col collapsed="false" customWidth="true" hidden="false" outlineLevel="0" max="8" min="8" style="0" width="3"/>
    <col collapsed="false" customWidth="true" hidden="false" outlineLevel="0" max="14" min="9" style="0" width="12"/>
  </cols>
  <sheetData>
    <row r="1" customFormat="false" ht="13.5" hidden="false" customHeight="true" outlineLevel="0" collapsed="false">
      <c r="A1" s="1" t="s">
        <v>0</v>
      </c>
      <c r="B1" s="2"/>
      <c r="C1" s="2"/>
      <c r="D1" s="2"/>
      <c r="E1" s="2"/>
      <c r="F1" s="2"/>
      <c r="G1" s="2"/>
      <c r="H1" s="2"/>
      <c r="I1" s="2"/>
      <c r="J1" s="2"/>
      <c r="K1" s="2"/>
      <c r="L1" s="2"/>
      <c r="M1" s="2"/>
      <c r="N1" s="2"/>
    </row>
    <row r="2" customFormat="false" ht="24" hidden="false" customHeight="true" outlineLevel="0" collapsed="false">
      <c r="A2" s="3" t="s">
        <v>59</v>
      </c>
      <c r="B2" s="2"/>
      <c r="C2" s="2"/>
      <c r="D2" s="2"/>
      <c r="E2" s="2"/>
      <c r="F2" s="2"/>
      <c r="G2" s="2"/>
      <c r="H2" s="2"/>
      <c r="I2" s="2"/>
      <c r="J2" s="2"/>
      <c r="K2" s="2"/>
      <c r="L2" s="2"/>
      <c r="M2" s="2"/>
      <c r="N2" s="2"/>
    </row>
    <row r="3" customFormat="false" ht="15.75" hidden="false" customHeight="true" outlineLevel="0" collapsed="false">
      <c r="A3" s="4" t="s">
        <v>60</v>
      </c>
      <c r="B3" s="2"/>
      <c r="C3" s="2"/>
      <c r="D3" s="2"/>
      <c r="E3" s="2"/>
      <c r="F3" s="2"/>
      <c r="G3" s="2"/>
      <c r="H3" s="2"/>
      <c r="I3" s="2"/>
      <c r="J3" s="2"/>
      <c r="K3" s="2"/>
      <c r="L3" s="2"/>
      <c r="M3" s="2"/>
      <c r="N3" s="2"/>
    </row>
    <row r="4" customFormat="false" ht="7.5" hidden="false" customHeight="true" outlineLevel="0" collapsed="false"/>
    <row r="6" customFormat="false" ht="18" hidden="false" customHeight="true" outlineLevel="0" collapsed="false">
      <c r="A6" s="7" t="s">
        <v>61</v>
      </c>
      <c r="B6" s="8"/>
      <c r="C6" s="8"/>
      <c r="D6" s="8"/>
      <c r="E6" s="8"/>
      <c r="F6" s="8"/>
      <c r="G6" s="8"/>
      <c r="H6" s="8"/>
      <c r="I6" s="8"/>
      <c r="J6" s="8"/>
      <c r="K6" s="8"/>
      <c r="L6" s="8"/>
      <c r="M6" s="8"/>
      <c r="N6" s="8"/>
    </row>
    <row r="7" customFormat="false" ht="24" hidden="false" customHeight="true" outlineLevel="0" collapsed="false">
      <c r="B7" s="16" t="s">
        <v>62</v>
      </c>
      <c r="C7" s="16" t="s">
        <v>63</v>
      </c>
      <c r="D7" s="17" t="s">
        <v>64</v>
      </c>
      <c r="E7" s="17" t="s">
        <v>65</v>
      </c>
      <c r="F7" s="18" t="s">
        <v>66</v>
      </c>
      <c r="G7" s="16" t="s">
        <v>67</v>
      </c>
    </row>
    <row r="8" customFormat="false" ht="30" hidden="false" customHeight="true" outlineLevel="0" collapsed="false">
      <c r="B8" s="19" t="n">
        <f aca="false">'04 Vergleich Hauptgruppen'!C15</f>
        <v>76000000</v>
      </c>
      <c r="C8" s="19" t="n">
        <f aca="false">'04 Vergleich Hauptgruppen'!E15</f>
        <v>75335790</v>
      </c>
      <c r="D8" s="20" t="n">
        <f aca="false">'04 Vergleich Hauptgruppen'!G15</f>
        <v>-664210</v>
      </c>
      <c r="E8" s="21" t="n">
        <f aca="false">'04 Vergleich Hauptgruppen'!H15</f>
        <v>-0.00873960526315787</v>
      </c>
      <c r="F8" s="22" t="n">
        <f aca="false">'04 Vergleich Hauptgruppen'!C15*'02 Annahmen'!C13</f>
        <v>7600000</v>
      </c>
      <c r="G8" s="19" t="n">
        <f aca="false">'04 Vergleich Hauptgruppen'!I15</f>
        <v>3103.81442456914</v>
      </c>
    </row>
    <row r="9" customFormat="false" ht="25.5" hidden="false" customHeight="true" outlineLevel="0" collapsed="false">
      <c r="B9" s="23" t="s">
        <v>68</v>
      </c>
      <c r="C9" s="23" t="s">
        <v>69</v>
      </c>
      <c r="D9" s="24" t="s">
        <v>70</v>
      </c>
      <c r="E9" s="24" t="s">
        <v>71</v>
      </c>
      <c r="F9" s="25" t="s">
        <v>72</v>
      </c>
      <c r="G9" s="23" t="s">
        <v>73</v>
      </c>
    </row>
    <row r="11" customFormat="false" ht="18" hidden="false" customHeight="true" outlineLevel="0" collapsed="false">
      <c r="A11" s="7" t="s">
        <v>74</v>
      </c>
      <c r="B11" s="8"/>
      <c r="C11" s="8"/>
      <c r="D11" s="8"/>
      <c r="E11" s="8"/>
      <c r="F11" s="8"/>
      <c r="G11" s="8"/>
      <c r="H11" s="8"/>
      <c r="I11" s="8"/>
      <c r="J11" s="8"/>
      <c r="K11" s="8"/>
      <c r="L11" s="8"/>
      <c r="M11" s="8"/>
      <c r="N11" s="8"/>
    </row>
    <row r="12" customFormat="false" ht="24" hidden="false" customHeight="true" outlineLevel="0" collapsed="false">
      <c r="B12" s="16" t="s">
        <v>75</v>
      </c>
      <c r="C12" s="18" t="s">
        <v>76</v>
      </c>
      <c r="D12" s="18" t="s">
        <v>77</v>
      </c>
      <c r="E12" s="16" t="s">
        <v>78</v>
      </c>
      <c r="F12" s="26" t="s">
        <v>79</v>
      </c>
      <c r="G12" s="16" t="s">
        <v>80</v>
      </c>
    </row>
    <row r="13" customFormat="false" ht="30" hidden="false" customHeight="true" outlineLevel="0" collapsed="false">
      <c r="B13" s="19" t="n">
        <f aca="false">'03 KV-Vergleich Detail'!C19</f>
        <v>45704000</v>
      </c>
      <c r="C13" s="27" t="n">
        <f aca="false">'05 Delta-Analyse'!C10</f>
        <v>-1692500</v>
      </c>
      <c r="D13" s="27" t="n">
        <f aca="false">'05 Delta-Analyse'!C11</f>
        <v>1028290</v>
      </c>
      <c r="E13" s="28" t="n">
        <f aca="false">'04 Vergleich Hauptgruppen'!C18</f>
        <v>652.914285714286</v>
      </c>
      <c r="F13" s="29" t="n">
        <f aca="false">'06 Benchmarks CH'!D18</f>
        <v>0.0245901639344262</v>
      </c>
      <c r="G13" s="30" t="n">
        <f aca="false">'06 Benchmarks CH'!D14</f>
        <v>0.197368421052632</v>
      </c>
    </row>
    <row r="14" customFormat="false" ht="25.5" hidden="false" customHeight="true" outlineLevel="0" collapsed="false">
      <c r="B14" s="23" t="s">
        <v>81</v>
      </c>
      <c r="C14" s="25" t="s">
        <v>82</v>
      </c>
      <c r="D14" s="25" t="s">
        <v>83</v>
      </c>
      <c r="E14" s="23" t="s">
        <v>84</v>
      </c>
      <c r="F14" s="31" t="s">
        <v>85</v>
      </c>
      <c r="G14" s="23" t="s">
        <v>86</v>
      </c>
    </row>
    <row r="16" customFormat="false" ht="18" hidden="false" customHeight="true" outlineLevel="0" collapsed="false">
      <c r="A16" s="7" t="s">
        <v>87</v>
      </c>
      <c r="B16" s="8"/>
      <c r="C16" s="8"/>
      <c r="D16" s="8"/>
      <c r="E16" s="8"/>
      <c r="F16" s="8"/>
      <c r="G16" s="8"/>
      <c r="H16" s="8"/>
      <c r="I16" s="8"/>
      <c r="J16" s="8"/>
      <c r="K16" s="8"/>
      <c r="L16" s="8"/>
      <c r="M16" s="8"/>
      <c r="N16" s="8"/>
    </row>
    <row r="17" customFormat="false" ht="24" hidden="false" customHeight="true" outlineLevel="0" collapsed="false">
      <c r="B17" s="16" t="s">
        <v>88</v>
      </c>
      <c r="C17" s="16" t="s">
        <v>89</v>
      </c>
      <c r="D17" s="16" t="s">
        <v>90</v>
      </c>
      <c r="E17" s="16" t="s">
        <v>91</v>
      </c>
      <c r="F17" s="26" t="s">
        <v>92</v>
      </c>
      <c r="G17" s="26" t="s">
        <v>93</v>
      </c>
    </row>
    <row r="18" customFormat="false" ht="30" hidden="false" customHeight="true" outlineLevel="0" collapsed="false">
      <c r="B18" s="19" t="n">
        <f aca="false">'08 Ertrag &amp; Rendite'!G18</f>
        <v>3962067.6</v>
      </c>
      <c r="C18" s="19" t="n">
        <f aca="false">'08 Ertrag &amp; Rendite'!G22</f>
        <v>3288516.108</v>
      </c>
      <c r="D18" s="32" t="n">
        <f aca="false">'08 Ertrag &amp; Rendite'!G27</f>
        <v>0.0525921026380688</v>
      </c>
      <c r="E18" s="32" t="n">
        <f aca="false">'08 Ertrag &amp; Rendite'!G29</f>
        <v>0.0436514451895971</v>
      </c>
      <c r="F18" s="33" t="n">
        <f aca="false">'08 Ertrag &amp; Rendite'!G38</f>
        <v>0.0116864355706629</v>
      </c>
      <c r="G18" s="34" t="n">
        <f aca="false">'08 Ertrag &amp; Rendite'!G46</f>
        <v>0.000496673511753178</v>
      </c>
    </row>
    <row r="19" customFormat="false" ht="25.5" hidden="false" customHeight="true" outlineLevel="0" collapsed="false">
      <c r="B19" s="23" t="s">
        <v>94</v>
      </c>
      <c r="C19" s="23" t="s">
        <v>95</v>
      </c>
      <c r="D19" s="23" t="s">
        <v>96</v>
      </c>
      <c r="E19" s="23" t="s">
        <v>97</v>
      </c>
      <c r="F19" s="31" t="s">
        <v>98</v>
      </c>
      <c r="G19" s="31" t="s">
        <v>99</v>
      </c>
    </row>
    <row r="21" customFormat="false" ht="18" hidden="false" customHeight="true" outlineLevel="0" collapsed="false">
      <c r="A21" s="7" t="s">
        <v>100</v>
      </c>
      <c r="B21" s="8"/>
      <c r="C21" s="8"/>
      <c r="D21" s="8"/>
      <c r="E21" s="8"/>
      <c r="F21" s="8"/>
      <c r="G21" s="8"/>
      <c r="H21" s="8"/>
      <c r="I21" s="8"/>
      <c r="J21" s="8"/>
      <c r="K21" s="8"/>
      <c r="L21" s="8"/>
      <c r="M21" s="8"/>
      <c r="N21" s="8"/>
    </row>
    <row r="22" customFormat="false" ht="24" hidden="false" customHeight="true" outlineLevel="0" collapsed="false">
      <c r="B22" s="26" t="s">
        <v>101</v>
      </c>
      <c r="C22" s="16" t="s">
        <v>102</v>
      </c>
      <c r="D22" s="17" t="s">
        <v>103</v>
      </c>
      <c r="E22" s="17" t="s">
        <v>104</v>
      </c>
      <c r="F22" s="26" t="s">
        <v>105</v>
      </c>
      <c r="G22" s="26" t="s">
        <v>106</v>
      </c>
    </row>
    <row r="23" customFormat="false" ht="30" hidden="false" customHeight="true" outlineLevel="0" collapsed="false">
      <c r="B23" s="35" t="n">
        <f aca="false">'10 Szenarien'!D23</f>
        <v>-31888611.0713053</v>
      </c>
      <c r="C23" s="36" t="n">
        <f aca="false">'10 Szenarien'!E23</f>
        <v>880406.855999991</v>
      </c>
      <c r="D23" s="20" t="n">
        <f aca="false">'10 Szenarien'!F23</f>
        <v>18336040.6566923</v>
      </c>
      <c r="E23" s="37" t="n">
        <f aca="false">'02 Annahmen'!C34</f>
        <v>4520998.14061055</v>
      </c>
      <c r="F23" s="38" t="n">
        <f aca="false">'11 Risiken &amp; Chancen'!F25</f>
        <v>23564000</v>
      </c>
      <c r="G23" s="38" t="n">
        <f aca="false">'08 Ertrag &amp; Rendite'!G47</f>
        <v>3888192.59587594</v>
      </c>
    </row>
    <row r="24" customFormat="false" ht="25.5" hidden="false" customHeight="true" outlineLevel="0" collapsed="false">
      <c r="B24" s="31" t="s">
        <v>107</v>
      </c>
      <c r="C24" s="23" t="s">
        <v>108</v>
      </c>
      <c r="D24" s="24" t="s">
        <v>109</v>
      </c>
      <c r="E24" s="24" t="s">
        <v>110</v>
      </c>
      <c r="F24" s="31" t="s">
        <v>111</v>
      </c>
      <c r="G24" s="31" t="s">
        <v>112</v>
      </c>
    </row>
    <row r="26" customFormat="false" ht="18" hidden="false" customHeight="true" outlineLevel="0" collapsed="false">
      <c r="A26" s="7" t="s">
        <v>113</v>
      </c>
      <c r="B26" s="8"/>
      <c r="C26" s="8"/>
      <c r="D26" s="8"/>
      <c r="E26" s="8"/>
      <c r="F26" s="8"/>
      <c r="G26" s="8"/>
      <c r="H26" s="8"/>
      <c r="I26" s="8"/>
      <c r="J26" s="8"/>
      <c r="K26" s="8"/>
      <c r="L26" s="8"/>
      <c r="M26" s="8"/>
      <c r="N26" s="8"/>
    </row>
    <row r="27" customFormat="false" ht="19.5" hidden="false" customHeight="true" outlineLevel="0" collapsed="false">
      <c r="A27" s="39"/>
      <c r="B27" s="39" t="s">
        <v>114</v>
      </c>
      <c r="C27" s="39" t="s">
        <v>115</v>
      </c>
      <c r="D27" s="39" t="s">
        <v>116</v>
      </c>
      <c r="E27" s="39"/>
      <c r="F27" s="39"/>
      <c r="G27" s="39"/>
      <c r="H27" s="39"/>
    </row>
    <row r="28" customFormat="false" ht="19.5" hidden="false" customHeight="true" outlineLevel="0" collapsed="false">
      <c r="A28" s="40"/>
      <c r="B28" s="41" t="s">
        <v>117</v>
      </c>
      <c r="C28" s="42" t="str">
        <f aca="false">IF('04 Vergleich Hauptgruppen'!H15&gt;0.02,"ROT",IF(ABS('04 Vergleich Hauptgruppen'!H15)&lt;=0.02,"GRÜN","GELB"))</f>
        <v>GRÜN</v>
      </c>
      <c r="D28" s="43" t="s">
        <v>118</v>
      </c>
      <c r="E28" s="43"/>
      <c r="F28" s="43"/>
      <c r="G28" s="43"/>
    </row>
    <row r="29" customFormat="false" ht="19.5" hidden="false" customHeight="true" outlineLevel="0" collapsed="false">
      <c r="A29" s="40"/>
      <c r="B29" s="41" t="s">
        <v>119</v>
      </c>
      <c r="C29" s="42" t="str">
        <f aca="false">IF('06 Benchmarks CH'!D18&lt;'06 Benchmarks CH'!F18,"ROT",IF('06 Benchmarks CH'!D18&gt;'06 Benchmarks CH'!G18,"GELB","GRÜN"))</f>
        <v>ROT</v>
      </c>
      <c r="D29" s="43" t="s">
        <v>120</v>
      </c>
      <c r="E29" s="43"/>
      <c r="F29" s="43"/>
      <c r="G29" s="43"/>
    </row>
    <row r="30" customFormat="false" ht="19.5" hidden="false" customHeight="true" outlineLevel="0" collapsed="false">
      <c r="A30" s="40"/>
      <c r="B30" s="41" t="s">
        <v>121</v>
      </c>
      <c r="C30" s="42" t="str">
        <f aca="false">IF('08 Ertrag &amp; Rendite'!G38&lt;0.05,"ROT",IF('08 Ertrag &amp; Rendite'!G38&lt;0.1,"GELB","GRÜN"))</f>
        <v>ROT</v>
      </c>
      <c r="D30" s="43" t="s">
        <v>122</v>
      </c>
      <c r="E30" s="43"/>
      <c r="F30" s="43"/>
      <c r="G30" s="43"/>
    </row>
    <row r="31" customFormat="false" ht="19.5" hidden="false" customHeight="true" outlineLevel="0" collapsed="false">
      <c r="A31" s="40"/>
      <c r="B31" s="41" t="s">
        <v>123</v>
      </c>
      <c r="C31" s="42" t="str">
        <f aca="false">"GELB"</f>
        <v>GELB</v>
      </c>
      <c r="D31" s="43" t="s">
        <v>124</v>
      </c>
      <c r="E31" s="43"/>
      <c r="F31" s="43"/>
      <c r="G31" s="43"/>
    </row>
    <row r="32" customFormat="false" ht="19.5" hidden="false" customHeight="true" outlineLevel="0" collapsed="false">
      <c r="A32" s="40"/>
      <c r="B32" s="41" t="s">
        <v>125</v>
      </c>
      <c r="C32" s="42" t="str">
        <f aca="false">"GELB"</f>
        <v>GELB</v>
      </c>
      <c r="D32" s="43" t="s">
        <v>126</v>
      </c>
      <c r="E32" s="43"/>
      <c r="F32" s="43"/>
      <c r="G32" s="43"/>
    </row>
    <row r="33" customFormat="false" ht="19.5" hidden="false" customHeight="true" outlineLevel="0" collapsed="false">
      <c r="A33" s="40"/>
      <c r="B33" s="41" t="s">
        <v>127</v>
      </c>
      <c r="C33" s="42" t="str">
        <f aca="false">"GELB"</f>
        <v>GELB</v>
      </c>
      <c r="D33" s="43" t="s">
        <v>128</v>
      </c>
      <c r="E33" s="43"/>
      <c r="F33" s="43"/>
      <c r="G33" s="43"/>
    </row>
    <row r="35" customFormat="false" ht="18" hidden="false" customHeight="true" outlineLevel="0" collapsed="false">
      <c r="A35" s="7" t="s">
        <v>129</v>
      </c>
      <c r="B35" s="8"/>
      <c r="C35" s="8"/>
      <c r="D35" s="8"/>
      <c r="E35" s="8"/>
      <c r="F35" s="8"/>
      <c r="G35" s="8"/>
      <c r="H35" s="8"/>
      <c r="I35" s="8"/>
      <c r="J35" s="8"/>
      <c r="K35" s="8"/>
      <c r="L35" s="8"/>
      <c r="M35" s="8"/>
      <c r="N35" s="8"/>
    </row>
    <row r="36" customFormat="false" ht="34.5" hidden="false" customHeight="true" outlineLevel="0" collapsed="false">
      <c r="B36" s="6" t="s">
        <v>130</v>
      </c>
      <c r="C36" s="6"/>
      <c r="D36" s="6"/>
      <c r="E36" s="6"/>
      <c r="F36" s="6"/>
      <c r="G36" s="6"/>
    </row>
    <row r="37" customFormat="false" ht="34.5" hidden="false" customHeight="true" outlineLevel="0" collapsed="false">
      <c r="B37" s="6"/>
      <c r="C37" s="6"/>
      <c r="D37" s="6"/>
      <c r="E37" s="6"/>
      <c r="F37" s="6"/>
      <c r="G37" s="6"/>
    </row>
    <row r="38" customFormat="false" ht="34.5" hidden="false" customHeight="true" outlineLevel="0" collapsed="false">
      <c r="B38" s="6"/>
      <c r="C38" s="6"/>
      <c r="D38" s="6"/>
      <c r="E38" s="6"/>
      <c r="F38" s="6"/>
      <c r="G38" s="6"/>
    </row>
    <row r="39" customFormat="false" ht="34.5" hidden="false" customHeight="true" outlineLevel="0" collapsed="false">
      <c r="B39" s="6"/>
      <c r="C39" s="6"/>
      <c r="D39" s="6"/>
      <c r="E39" s="6"/>
      <c r="F39" s="6"/>
      <c r="G39" s="6"/>
    </row>
    <row r="40" customFormat="false" ht="34.5" hidden="false" customHeight="true" outlineLevel="0" collapsed="false">
      <c r="B40" s="6"/>
      <c r="C40" s="6"/>
      <c r="D40" s="6"/>
      <c r="E40" s="6"/>
      <c r="F40" s="6"/>
      <c r="G40" s="6"/>
    </row>
    <row r="41" customFormat="false" ht="34.5" hidden="false" customHeight="true" outlineLevel="0" collapsed="false">
      <c r="B41" s="6"/>
      <c r="C41" s="6"/>
      <c r="D41" s="6"/>
      <c r="E41" s="6"/>
      <c r="F41" s="6"/>
      <c r="G41" s="6"/>
    </row>
  </sheetData>
  <mergeCells count="7">
    <mergeCell ref="D28:G28"/>
    <mergeCell ref="D29:G29"/>
    <mergeCell ref="D30:G30"/>
    <mergeCell ref="D31:G31"/>
    <mergeCell ref="D32:G32"/>
    <mergeCell ref="D33:G33"/>
    <mergeCell ref="B36:G41"/>
  </mergeCells>
  <conditionalFormatting sqref="C28:C33">
    <cfRule type="expression" priority="2" aboveAverage="0" equalAverage="0" bottom="0" percent="0" rank="0" text="" dxfId="0">
      <formula>EXACT(C28,"GRÜN")</formula>
    </cfRule>
    <cfRule type="expression" priority="3" aboveAverage="0" equalAverage="0" bottom="0" percent="0" rank="0" text="" dxfId="1">
      <formula>EXACT(C28,"GELB")</formula>
    </cfRule>
    <cfRule type="expression" priority="4" aboveAverage="0" equalAverage="0" bottom="0" percent="0" rank="0" text="" dxfId="2">
      <formula>EXACT(C28,"ROT")</formula>
    </cfRule>
  </conditionalFormatting>
  <printOptions headings="false" gridLines="false" gridLinesSet="true" horizontalCentered="tru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18726"/>
    <pageSetUpPr fitToPage="true"/>
  </sheetPr>
  <dimension ref="A1:G6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16"/>
    <col collapsed="false" customWidth="true" hidden="false" outlineLevel="0" max="4" min="4" style="0" width="10"/>
    <col collapsed="false" customWidth="true" hidden="false" outlineLevel="0" max="5" min="5" style="0" width="52"/>
    <col collapsed="false" customWidth="true" hidden="false" outlineLevel="0" max="7" min="6" style="0" width="3"/>
  </cols>
  <sheetData>
    <row r="1" customFormat="false" ht="13.5" hidden="false" customHeight="true" outlineLevel="0" collapsed="false">
      <c r="A1" s="1" t="s">
        <v>0</v>
      </c>
      <c r="B1" s="2"/>
      <c r="C1" s="2"/>
      <c r="D1" s="2"/>
      <c r="E1" s="2"/>
      <c r="F1" s="2"/>
      <c r="G1" s="2"/>
    </row>
    <row r="2" customFormat="false" ht="24" hidden="false" customHeight="true" outlineLevel="0" collapsed="false">
      <c r="A2" s="3" t="s">
        <v>131</v>
      </c>
      <c r="B2" s="2"/>
      <c r="C2" s="2"/>
      <c r="D2" s="2"/>
      <c r="E2" s="2"/>
      <c r="F2" s="2"/>
      <c r="G2" s="2"/>
    </row>
    <row r="3" customFormat="false" ht="15.75" hidden="false" customHeight="true" outlineLevel="0" collapsed="false">
      <c r="A3" s="4" t="s">
        <v>132</v>
      </c>
      <c r="B3" s="2"/>
      <c r="C3" s="2"/>
      <c r="D3" s="2"/>
      <c r="E3" s="2"/>
      <c r="F3" s="2"/>
      <c r="G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137</v>
      </c>
      <c r="B7" s="8"/>
      <c r="C7" s="8"/>
      <c r="D7" s="8"/>
      <c r="E7" s="8"/>
      <c r="F7" s="8"/>
      <c r="G7" s="8"/>
    </row>
    <row r="8" customFormat="false" ht="15" hidden="false" customHeight="true" outlineLevel="0" collapsed="false">
      <c r="B8" s="48" t="s">
        <v>6</v>
      </c>
      <c r="C8" s="49" t="s">
        <v>138</v>
      </c>
      <c r="D8" s="50"/>
      <c r="E8" s="14" t="s">
        <v>139</v>
      </c>
    </row>
    <row r="9" customFormat="false" ht="15" hidden="false" customHeight="true" outlineLevel="0" collapsed="false">
      <c r="B9" s="48" t="s">
        <v>140</v>
      </c>
      <c r="C9" s="49" t="s">
        <v>141</v>
      </c>
      <c r="D9" s="50"/>
      <c r="E9" s="14" t="s">
        <v>142</v>
      </c>
    </row>
    <row r="10" customFormat="false" ht="15" hidden="false" customHeight="true" outlineLevel="0" collapsed="false">
      <c r="B10" s="48" t="s">
        <v>143</v>
      </c>
      <c r="C10" s="49" t="s">
        <v>144</v>
      </c>
      <c r="D10" s="50"/>
      <c r="E10" s="14" t="s">
        <v>145</v>
      </c>
    </row>
    <row r="11" customFormat="false" ht="15" hidden="false" customHeight="true" outlineLevel="0" collapsed="false">
      <c r="B11" s="48" t="s">
        <v>146</v>
      </c>
      <c r="C11" s="49" t="s">
        <v>147</v>
      </c>
      <c r="D11" s="50"/>
      <c r="E11" s="14" t="s">
        <v>148</v>
      </c>
    </row>
    <row r="12" customFormat="false" ht="15" hidden="false" customHeight="true" outlineLevel="0" collapsed="false">
      <c r="B12" s="48" t="s">
        <v>149</v>
      </c>
      <c r="C12" s="49" t="s">
        <v>150</v>
      </c>
      <c r="D12" s="50"/>
      <c r="E12" s="14" t="s">
        <v>151</v>
      </c>
    </row>
    <row r="13" customFormat="false" ht="15" hidden="false" customHeight="true" outlineLevel="0" collapsed="false">
      <c r="B13" s="48" t="s">
        <v>152</v>
      </c>
      <c r="C13" s="51" t="n">
        <v>0.1</v>
      </c>
      <c r="D13" s="50" t="s">
        <v>153</v>
      </c>
      <c r="E13" s="14" t="s">
        <v>154</v>
      </c>
    </row>
    <row r="15" customFormat="false" ht="18" hidden="false" customHeight="true" outlineLevel="0" collapsed="false">
      <c r="A15" s="7" t="s">
        <v>155</v>
      </c>
      <c r="B15" s="8"/>
      <c r="C15" s="8"/>
      <c r="D15" s="8"/>
      <c r="E15" s="8"/>
      <c r="F15" s="8"/>
      <c r="G15" s="8"/>
    </row>
    <row r="16" customFormat="false" ht="15" hidden="false" customHeight="true" outlineLevel="0" collapsed="false">
      <c r="B16" s="48" t="s">
        <v>156</v>
      </c>
      <c r="C16" s="52" t="n">
        <v>27118</v>
      </c>
      <c r="D16" s="50" t="s">
        <v>157</v>
      </c>
      <c r="E16" s="14" t="s">
        <v>158</v>
      </c>
    </row>
    <row r="17" customFormat="false" ht="15" hidden="false" customHeight="true" outlineLevel="0" collapsed="false">
      <c r="B17" s="48" t="s">
        <v>159</v>
      </c>
      <c r="C17" s="52" t="n">
        <v>23716</v>
      </c>
      <c r="D17" s="50" t="s">
        <v>157</v>
      </c>
      <c r="E17" s="14" t="s">
        <v>160</v>
      </c>
    </row>
    <row r="18" customFormat="false" ht="15" hidden="false" customHeight="true" outlineLevel="0" collapsed="false">
      <c r="B18" s="48" t="s">
        <v>10</v>
      </c>
      <c r="C18" s="52" t="n">
        <v>24486</v>
      </c>
      <c r="D18" s="50" t="s">
        <v>157</v>
      </c>
      <c r="E18" s="14" t="s">
        <v>161</v>
      </c>
    </row>
    <row r="19" customFormat="false" ht="15" hidden="false" customHeight="true" outlineLevel="0" collapsed="false">
      <c r="B19" s="48" t="s">
        <v>162</v>
      </c>
      <c r="C19" s="53" t="n">
        <f aca="false">'02 Annahmen'!C18/'02 Annahmen'!C16</f>
        <v>0.902942694889004</v>
      </c>
      <c r="D19" s="50" t="s">
        <v>163</v>
      </c>
      <c r="E19" s="14" t="s">
        <v>164</v>
      </c>
    </row>
    <row r="20" customFormat="false" ht="15" hidden="false" customHeight="true" outlineLevel="0" collapsed="false">
      <c r="B20" s="48" t="s">
        <v>165</v>
      </c>
      <c r="C20" s="52" t="n">
        <v>70000</v>
      </c>
      <c r="D20" s="50" t="s">
        <v>166</v>
      </c>
      <c r="E20" s="14" t="s">
        <v>167</v>
      </c>
    </row>
    <row r="21" customFormat="false" ht="15" hidden="false" customHeight="true" outlineLevel="0" collapsed="false">
      <c r="B21" s="48" t="s">
        <v>168</v>
      </c>
      <c r="C21" s="52" t="n">
        <v>7</v>
      </c>
      <c r="D21" s="50" t="s">
        <v>169</v>
      </c>
      <c r="E21" s="14" t="s">
        <v>170</v>
      </c>
    </row>
    <row r="23" customFormat="false" ht="18" hidden="false" customHeight="true" outlineLevel="0" collapsed="false">
      <c r="A23" s="7" t="s">
        <v>61</v>
      </c>
      <c r="B23" s="8"/>
      <c r="C23" s="8"/>
      <c r="D23" s="8"/>
      <c r="E23" s="8"/>
      <c r="F23" s="8"/>
      <c r="G23" s="8"/>
    </row>
    <row r="24" customFormat="false" ht="15" hidden="false" customHeight="true" outlineLevel="0" collapsed="false">
      <c r="B24" s="54" t="s">
        <v>171</v>
      </c>
      <c r="C24" s="55" t="n">
        <f aca="false">'04 Vergleich Hauptgruppen'!C15</f>
        <v>76000000</v>
      </c>
      <c r="D24" s="50" t="s">
        <v>172</v>
      </c>
      <c r="E24" s="14" t="s">
        <v>173</v>
      </c>
    </row>
    <row r="25" customFormat="false" ht="15" hidden="false" customHeight="true" outlineLevel="0" collapsed="false">
      <c r="B25" s="54" t="s">
        <v>174</v>
      </c>
      <c r="C25" s="55" t="n">
        <f aca="false">'04 Vergleich Hauptgruppen'!E15</f>
        <v>75335790</v>
      </c>
      <c r="D25" s="50" t="s">
        <v>172</v>
      </c>
      <c r="E25" s="14" t="s">
        <v>173</v>
      </c>
    </row>
    <row r="26" customFormat="false" ht="15" hidden="false" customHeight="true" outlineLevel="0" collapsed="false">
      <c r="B26" s="48" t="s">
        <v>175</v>
      </c>
      <c r="C26" s="56" t="n">
        <f aca="false">'02 Annahmen'!C25-'02 Annahmen'!C24</f>
        <v>-664210</v>
      </c>
      <c r="D26" s="50" t="s">
        <v>172</v>
      </c>
      <c r="E26" s="14" t="s">
        <v>176</v>
      </c>
    </row>
    <row r="27" customFormat="false" ht="15" hidden="false" customHeight="true" outlineLevel="0" collapsed="false">
      <c r="B27" s="48" t="s">
        <v>177</v>
      </c>
      <c r="C27" s="57" t="n">
        <f aca="false">'02 Annahmen'!C26/'02 Annahmen'!C24</f>
        <v>-0.00873960526315789</v>
      </c>
      <c r="D27" s="50" t="s">
        <v>178</v>
      </c>
      <c r="E27" s="14"/>
    </row>
    <row r="28" customFormat="false" ht="15" hidden="false" customHeight="true" outlineLevel="0" collapsed="false">
      <c r="B28" s="48" t="s">
        <v>179</v>
      </c>
      <c r="C28" s="58" t="n">
        <v>2</v>
      </c>
      <c r="D28" s="50" t="s">
        <v>180</v>
      </c>
      <c r="E28" s="14" t="s">
        <v>181</v>
      </c>
    </row>
    <row r="29" customFormat="false" ht="15" hidden="false" customHeight="true" outlineLevel="0" collapsed="false">
      <c r="B29" s="54" t="s">
        <v>182</v>
      </c>
      <c r="C29" s="59" t="n">
        <f aca="false">IF('02 Annahmen'!C28=1,'02 Annahmen'!C24,'02 Annahmen'!C25)</f>
        <v>75335790</v>
      </c>
      <c r="D29" s="50" t="s">
        <v>172</v>
      </c>
      <c r="E29" s="14" t="s">
        <v>183</v>
      </c>
    </row>
    <row r="30" customFormat="false" ht="15" hidden="false" customHeight="true" outlineLevel="0" collapsed="false">
      <c r="B30" s="48" t="s">
        <v>184</v>
      </c>
      <c r="C30" s="60" t="n">
        <f aca="false">'04 Vergleich Hauptgruppen'!C9</f>
        <v>15000000</v>
      </c>
      <c r="D30" s="50" t="s">
        <v>172</v>
      </c>
      <c r="E30" s="14" t="s">
        <v>185</v>
      </c>
    </row>
    <row r="31" customFormat="false" ht="15" hidden="false" customHeight="true" outlineLevel="0" collapsed="false">
      <c r="B31" s="48" t="s">
        <v>186</v>
      </c>
      <c r="C31" s="61" t="n">
        <f aca="false">'02 Annahmen'!C29-'02 Annahmen'!C30</f>
        <v>60335790</v>
      </c>
      <c r="D31" s="50" t="s">
        <v>172</v>
      </c>
      <c r="E31" s="14" t="s">
        <v>187</v>
      </c>
    </row>
    <row r="32" customFormat="false" ht="15" hidden="false" customHeight="true" outlineLevel="0" collapsed="false">
      <c r="B32" s="48" t="s">
        <v>188</v>
      </c>
      <c r="C32" s="62" t="n">
        <v>0.081</v>
      </c>
      <c r="D32" s="50" t="s">
        <v>178</v>
      </c>
      <c r="E32" s="14" t="s">
        <v>189</v>
      </c>
    </row>
    <row r="33" customFormat="false" ht="15" hidden="false" customHeight="true" outlineLevel="0" collapsed="false">
      <c r="B33" s="54" t="s">
        <v>190</v>
      </c>
      <c r="C33" s="59" t="n">
        <f aca="false">'02 Annahmen'!C30+'02 Annahmen'!C31/(1+'02 Annahmen'!C32)</f>
        <v>70814791.8593895</v>
      </c>
      <c r="D33" s="50" t="s">
        <v>172</v>
      </c>
      <c r="E33" s="14" t="s">
        <v>191</v>
      </c>
    </row>
    <row r="34" customFormat="false" ht="15" hidden="false" customHeight="true" outlineLevel="0" collapsed="false">
      <c r="B34" s="48" t="s">
        <v>192</v>
      </c>
      <c r="C34" s="61" t="n">
        <f aca="false">'02 Annahmen'!C29-'02 Annahmen'!C33</f>
        <v>4520998.14061055</v>
      </c>
      <c r="D34" s="50" t="s">
        <v>172</v>
      </c>
      <c r="E34" s="14" t="s">
        <v>193</v>
      </c>
    </row>
    <row r="36" customFormat="false" ht="18" hidden="false" customHeight="true" outlineLevel="0" collapsed="false">
      <c r="A36" s="7" t="s">
        <v>194</v>
      </c>
      <c r="B36" s="8"/>
      <c r="C36" s="8"/>
      <c r="D36" s="8"/>
      <c r="E36" s="8"/>
      <c r="F36" s="8"/>
      <c r="G36" s="8"/>
    </row>
    <row r="37" customFormat="false" ht="15" hidden="false" customHeight="true" outlineLevel="0" collapsed="false">
      <c r="B37" s="48" t="s">
        <v>195</v>
      </c>
      <c r="C37" s="52" t="n">
        <v>1921</v>
      </c>
      <c r="D37" s="50" t="s">
        <v>157</v>
      </c>
      <c r="E37" s="14" t="s">
        <v>196</v>
      </c>
    </row>
    <row r="38" customFormat="false" ht="15" hidden="false" customHeight="true" outlineLevel="0" collapsed="false">
      <c r="B38" s="48" t="s">
        <v>197</v>
      </c>
      <c r="C38" s="52" t="n">
        <v>140</v>
      </c>
      <c r="D38" s="50" t="s">
        <v>198</v>
      </c>
      <c r="E38" s="14" t="s">
        <v>199</v>
      </c>
    </row>
    <row r="39" customFormat="false" ht="15" hidden="false" customHeight="true" outlineLevel="0" collapsed="false">
      <c r="B39" s="48" t="s">
        <v>200</v>
      </c>
      <c r="C39" s="52" t="n">
        <v>814</v>
      </c>
      <c r="D39" s="50" t="s">
        <v>157</v>
      </c>
      <c r="E39" s="14" t="s">
        <v>196</v>
      </c>
    </row>
    <row r="40" customFormat="false" ht="15" hidden="false" customHeight="true" outlineLevel="0" collapsed="false">
      <c r="B40" s="48" t="s">
        <v>201</v>
      </c>
      <c r="C40" s="52" t="n">
        <v>280</v>
      </c>
      <c r="D40" s="50" t="s">
        <v>198</v>
      </c>
      <c r="E40" s="14" t="s">
        <v>199</v>
      </c>
    </row>
    <row r="41" customFormat="false" ht="15" hidden="false" customHeight="true" outlineLevel="0" collapsed="false">
      <c r="B41" s="48" t="s">
        <v>202</v>
      </c>
      <c r="C41" s="63" t="n">
        <v>16.67</v>
      </c>
      <c r="D41" s="50" t="s">
        <v>169</v>
      </c>
      <c r="E41" s="14" t="s">
        <v>196</v>
      </c>
    </row>
    <row r="42" customFormat="false" ht="15" hidden="false" customHeight="true" outlineLevel="0" collapsed="false">
      <c r="B42" s="48" t="s">
        <v>203</v>
      </c>
      <c r="C42" s="52" t="n">
        <v>170</v>
      </c>
      <c r="D42" s="50" t="s">
        <v>204</v>
      </c>
      <c r="E42" s="14" t="s">
        <v>196</v>
      </c>
    </row>
    <row r="43" customFormat="false" ht="15" hidden="false" customHeight="true" outlineLevel="0" collapsed="false">
      <c r="B43" s="48" t="s">
        <v>205</v>
      </c>
      <c r="C43" s="52" t="n">
        <v>1400</v>
      </c>
      <c r="D43" s="50" t="s">
        <v>157</v>
      </c>
      <c r="E43" s="14" t="s">
        <v>196</v>
      </c>
    </row>
    <row r="44" customFormat="false" ht="15" hidden="false" customHeight="true" outlineLevel="0" collapsed="false">
      <c r="B44" s="48" t="s">
        <v>206</v>
      </c>
      <c r="C44" s="52" t="n">
        <v>150</v>
      </c>
      <c r="D44" s="50" t="s">
        <v>198</v>
      </c>
      <c r="E44" s="14" t="s">
        <v>196</v>
      </c>
    </row>
    <row r="45" customFormat="false" ht="15" hidden="false" customHeight="true" outlineLevel="0" collapsed="false">
      <c r="B45" s="48" t="s">
        <v>207</v>
      </c>
      <c r="C45" s="52" t="n">
        <v>12</v>
      </c>
      <c r="D45" s="50" t="s">
        <v>169</v>
      </c>
      <c r="E45" s="14" t="s">
        <v>196</v>
      </c>
    </row>
    <row r="46" customFormat="false" ht="15" hidden="false" customHeight="true" outlineLevel="0" collapsed="false">
      <c r="B46" s="48" t="s">
        <v>208</v>
      </c>
      <c r="C46" s="52" t="n">
        <v>250</v>
      </c>
      <c r="D46" s="50" t="s">
        <v>204</v>
      </c>
      <c r="E46" s="14" t="s">
        <v>196</v>
      </c>
    </row>
    <row r="48" customFormat="false" ht="18" hidden="false" customHeight="true" outlineLevel="0" collapsed="false">
      <c r="A48" s="7" t="s">
        <v>209</v>
      </c>
      <c r="B48" s="8"/>
      <c r="C48" s="8"/>
      <c r="D48" s="8"/>
      <c r="E48" s="8"/>
      <c r="F48" s="8"/>
      <c r="G48" s="8"/>
    </row>
    <row r="49" customFormat="false" ht="15" hidden="false" customHeight="true" outlineLevel="0" collapsed="false">
      <c r="B49" s="48" t="s">
        <v>210</v>
      </c>
      <c r="C49" s="51" t="n">
        <v>0.05</v>
      </c>
      <c r="D49" s="50" t="s">
        <v>178</v>
      </c>
      <c r="E49" s="14" t="s">
        <v>211</v>
      </c>
    </row>
    <row r="50" customFormat="false" ht="15" hidden="false" customHeight="true" outlineLevel="0" collapsed="false">
      <c r="B50" s="48" t="s">
        <v>212</v>
      </c>
      <c r="C50" s="51" t="n">
        <v>0.12</v>
      </c>
      <c r="D50" s="50" t="s">
        <v>213</v>
      </c>
      <c r="E50" s="14" t="s">
        <v>214</v>
      </c>
    </row>
    <row r="51" customFormat="false" ht="15" hidden="false" customHeight="true" outlineLevel="0" collapsed="false">
      <c r="B51" s="48" t="s">
        <v>215</v>
      </c>
      <c r="C51" s="62" t="n">
        <v>0.0425</v>
      </c>
      <c r="D51" s="50" t="s">
        <v>178</v>
      </c>
      <c r="E51" s="14" t="s">
        <v>216</v>
      </c>
    </row>
    <row r="52" customFormat="false" ht="15" hidden="false" customHeight="true" outlineLevel="0" collapsed="false">
      <c r="B52" s="48" t="s">
        <v>217</v>
      </c>
      <c r="C52" s="51" t="n">
        <v>0.015</v>
      </c>
      <c r="D52" s="50" t="s">
        <v>218</v>
      </c>
      <c r="E52" s="14" t="s">
        <v>219</v>
      </c>
    </row>
    <row r="54" customFormat="false" ht="18" hidden="false" customHeight="true" outlineLevel="0" collapsed="false">
      <c r="A54" s="7" t="s">
        <v>220</v>
      </c>
      <c r="B54" s="8"/>
      <c r="C54" s="8"/>
      <c r="D54" s="8"/>
      <c r="E54" s="8"/>
      <c r="F54" s="8"/>
      <c r="G54" s="8"/>
    </row>
    <row r="55" customFormat="false" ht="15" hidden="false" customHeight="true" outlineLevel="0" collapsed="false">
      <c r="B55" s="48" t="s">
        <v>221</v>
      </c>
      <c r="C55" s="51" t="n">
        <v>0.65</v>
      </c>
      <c r="D55" s="50" t="s">
        <v>178</v>
      </c>
      <c r="E55" s="14" t="s">
        <v>222</v>
      </c>
    </row>
    <row r="56" customFormat="false" ht="15" hidden="false" customHeight="true" outlineLevel="0" collapsed="false">
      <c r="B56" s="48" t="s">
        <v>223</v>
      </c>
      <c r="C56" s="62" t="n">
        <v>0.0225</v>
      </c>
      <c r="D56" s="50" t="s">
        <v>178</v>
      </c>
      <c r="E56" s="14" t="s">
        <v>224</v>
      </c>
    </row>
    <row r="57" customFormat="false" ht="15" hidden="false" customHeight="true" outlineLevel="0" collapsed="false">
      <c r="B57" s="48" t="s">
        <v>225</v>
      </c>
      <c r="C57" s="52" t="n">
        <v>24</v>
      </c>
      <c r="D57" s="50" t="s">
        <v>226</v>
      </c>
      <c r="E57" s="14" t="s">
        <v>227</v>
      </c>
    </row>
    <row r="58" customFormat="false" ht="15" hidden="false" customHeight="true" outlineLevel="0" collapsed="false">
      <c r="B58" s="48" t="s">
        <v>228</v>
      </c>
      <c r="C58" s="61" t="n">
        <f aca="false">'02 Annahmen'!C29*(1-'02 Annahmen'!C55)</f>
        <v>26367526.5</v>
      </c>
      <c r="D58" s="50" t="s">
        <v>172</v>
      </c>
      <c r="E58" s="14" t="s">
        <v>164</v>
      </c>
    </row>
    <row r="59" customFormat="false" ht="15" hidden="false" customHeight="true" outlineLevel="0" collapsed="false">
      <c r="B59" s="48" t="s">
        <v>229</v>
      </c>
      <c r="C59" s="61" t="n">
        <f aca="false">'02 Annahmen'!C31*'02 Annahmen'!C55*'02 Annahmen'!C56*'02 Annahmen'!C57/12/2</f>
        <v>882410.92875</v>
      </c>
      <c r="D59" s="50" t="s">
        <v>172</v>
      </c>
      <c r="E59" s="14" t="s">
        <v>230</v>
      </c>
    </row>
    <row r="60" customFormat="false" ht="15" hidden="false" customHeight="true" outlineLevel="0" collapsed="false">
      <c r="B60" s="48" t="s">
        <v>231</v>
      </c>
      <c r="C60" s="60" t="n">
        <v>706000</v>
      </c>
      <c r="D60" s="50" t="s">
        <v>172</v>
      </c>
      <c r="E60" s="14" t="s">
        <v>232</v>
      </c>
    </row>
    <row r="61" customFormat="false" ht="15" hidden="false" customHeight="true" outlineLevel="0" collapsed="false">
      <c r="B61" s="48" t="s">
        <v>233</v>
      </c>
      <c r="C61" s="56" t="n">
        <f aca="false">'02 Annahmen'!C60-'02 Annahmen'!C59</f>
        <v>-176410.92875</v>
      </c>
      <c r="D61" s="50" t="s">
        <v>172</v>
      </c>
      <c r="E61" s="14" t="s">
        <v>234</v>
      </c>
    </row>
  </sheetData>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D603E"/>
    <pageSetUpPr fitToPage="true"/>
  </sheetPr>
  <dimension ref="A1:J1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2" min="2" style="0" width="62"/>
    <col collapsed="false" customWidth="true" hidden="false" outlineLevel="0" max="3" min="3" style="0" width="15"/>
    <col collapsed="false" customWidth="true" hidden="false" outlineLevel="0" max="4" min="4" style="0" width="8"/>
    <col collapsed="false" customWidth="true" hidden="false" outlineLevel="0" max="5" min="5" style="0" width="15"/>
    <col collapsed="false" customWidth="true" hidden="false" outlineLevel="0" max="6" min="6" style="0" width="8"/>
    <col collapsed="false" customWidth="true" hidden="false" outlineLevel="0" max="7" min="7" style="0" width="14"/>
    <col collapsed="false" customWidth="true" hidden="false" outlineLevel="0" max="8" min="8" style="0" width="9"/>
    <col collapsed="false" customWidth="true" hidden="false" outlineLevel="0" max="9" min="9" style="0" width="17"/>
    <col collapsed="false" customWidth="true" hidden="false" outlineLevel="0" max="10" min="10" style="0" width="62"/>
  </cols>
  <sheetData>
    <row r="1" customFormat="false" ht="13.5" hidden="false" customHeight="true" outlineLevel="0" collapsed="false">
      <c r="A1" s="1" t="s">
        <v>0</v>
      </c>
      <c r="B1" s="2"/>
      <c r="C1" s="2"/>
      <c r="D1" s="2"/>
      <c r="E1" s="2"/>
      <c r="F1" s="2"/>
      <c r="G1" s="2"/>
      <c r="H1" s="2"/>
      <c r="I1" s="2"/>
      <c r="J1" s="2"/>
    </row>
    <row r="2" customFormat="false" ht="24" hidden="false" customHeight="true" outlineLevel="0" collapsed="false">
      <c r="A2" s="3" t="s">
        <v>235</v>
      </c>
      <c r="B2" s="2"/>
      <c r="C2" s="2"/>
      <c r="D2" s="2"/>
      <c r="E2" s="2"/>
      <c r="F2" s="2"/>
      <c r="G2" s="2"/>
      <c r="H2" s="2"/>
      <c r="I2" s="2"/>
      <c r="J2" s="2"/>
    </row>
    <row r="3" customFormat="false" ht="15.75" hidden="false" customHeight="true" outlineLevel="0" collapsed="false">
      <c r="A3" s="4" t="s">
        <v>236</v>
      </c>
      <c r="B3" s="2"/>
      <c r="C3" s="2"/>
      <c r="D3" s="2"/>
      <c r="E3" s="2"/>
      <c r="F3" s="2"/>
      <c r="G3" s="2"/>
      <c r="H3" s="2"/>
      <c r="I3" s="2"/>
      <c r="J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33.75" hidden="false" customHeight="true" outlineLevel="0" collapsed="false">
      <c r="A7" s="39" t="s">
        <v>237</v>
      </c>
      <c r="B7" s="39" t="s">
        <v>238</v>
      </c>
      <c r="C7" s="39" t="s">
        <v>239</v>
      </c>
      <c r="D7" s="39" t="s">
        <v>240</v>
      </c>
      <c r="E7" s="39" t="s">
        <v>241</v>
      </c>
      <c r="F7" s="39" t="s">
        <v>240</v>
      </c>
      <c r="G7" s="39" t="s">
        <v>242</v>
      </c>
      <c r="H7" s="39" t="s">
        <v>243</v>
      </c>
      <c r="I7" s="39" t="s">
        <v>244</v>
      </c>
      <c r="J7" s="39" t="s">
        <v>245</v>
      </c>
    </row>
    <row r="8" customFormat="false" ht="15.75" hidden="false" customHeight="true" outlineLevel="0" collapsed="false">
      <c r="A8" s="64" t="s">
        <v>246</v>
      </c>
      <c r="B8" s="65" t="s">
        <v>247</v>
      </c>
      <c r="C8" s="66" t="n">
        <f aca="false">SUM(C9)</f>
        <v>15000000</v>
      </c>
      <c r="D8" s="67" t="n">
        <f aca="false">IFERROR(C8/$C$141,0)</f>
        <v>0.197368421052632</v>
      </c>
      <c r="E8" s="66" t="n">
        <f aca="false">SUM(E9)</f>
        <v>15000000</v>
      </c>
      <c r="F8" s="67" t="n">
        <f aca="false">IF(E8="","",IFERROR(E8/$E$141,0))</f>
        <v>0.199108551194592</v>
      </c>
      <c r="G8" s="68" t="n">
        <f aca="false">E8-C8</f>
        <v>0</v>
      </c>
      <c r="H8" s="69" t="n">
        <f aca="false">IF(C8=0,"",E8/C8-1)</f>
        <v>0</v>
      </c>
      <c r="I8" s="70" t="s">
        <v>248</v>
      </c>
      <c r="J8" s="71" t="s">
        <v>249</v>
      </c>
    </row>
    <row r="9" customFormat="false" ht="15.75" hidden="false" customHeight="true" outlineLevel="0" collapsed="false">
      <c r="A9" s="72" t="s">
        <v>250</v>
      </c>
      <c r="B9" s="73" t="s">
        <v>251</v>
      </c>
      <c r="C9" s="74" t="n">
        <f aca="false">SUM(C10,C11,C12,C13,C14,C15)</f>
        <v>15000000</v>
      </c>
      <c r="D9" s="75" t="n">
        <f aca="false">IFERROR(C9/$C$141,0)</f>
        <v>0.197368421052632</v>
      </c>
      <c r="E9" s="74" t="n">
        <f aca="false">SUM(E10,E11,E12,E13,E14,E15)</f>
        <v>15000000</v>
      </c>
      <c r="F9" s="75" t="n">
        <f aca="false">IF(E9="","",IFERROR(E9/$E$141,0))</f>
        <v>0.199108551194592</v>
      </c>
      <c r="G9" s="76" t="n">
        <f aca="false">E9-C9</f>
        <v>0</v>
      </c>
      <c r="H9" s="77" t="n">
        <f aca="false">IF(C9=0,"",E9/C9-1)</f>
        <v>0</v>
      </c>
      <c r="I9" s="78" t="s">
        <v>248</v>
      </c>
      <c r="J9" s="71"/>
    </row>
    <row r="10" customFormat="false" ht="13.5" hidden="false" customHeight="true" outlineLevel="0" collapsed="false">
      <c r="A10" s="79" t="s">
        <v>252</v>
      </c>
      <c r="B10" s="80" t="s">
        <v>253</v>
      </c>
      <c r="C10" s="81" t="n">
        <v>2516061</v>
      </c>
      <c r="D10" s="82" t="n">
        <f aca="false">IFERROR(C10/$C$141,0)</f>
        <v>0.0331060657894737</v>
      </c>
      <c r="E10" s="81" t="n">
        <v>2516061</v>
      </c>
      <c r="F10" s="82" t="n">
        <f aca="false">IF(E10="","",IFERROR(E10/$E$141,0))</f>
        <v>0.0333979506951477</v>
      </c>
      <c r="G10" s="83" t="n">
        <f aca="false">E10-C10</f>
        <v>0</v>
      </c>
      <c r="H10" s="84" t="n">
        <f aca="false">IF(C10=0,"",E10/C10-1)</f>
        <v>0</v>
      </c>
      <c r="I10" s="85" t="s">
        <v>248</v>
      </c>
      <c r="J10" s="71" t="s">
        <v>254</v>
      </c>
    </row>
    <row r="11" customFormat="false" ht="13.5" hidden="false" customHeight="true" outlineLevel="0" collapsed="false">
      <c r="A11" s="79" t="s">
        <v>255</v>
      </c>
      <c r="B11" s="80" t="s">
        <v>256</v>
      </c>
      <c r="C11" s="81" t="n">
        <v>2491434</v>
      </c>
      <c r="D11" s="82" t="n">
        <f aca="false">IFERROR(C11/$C$141,0)</f>
        <v>0.0327820263157895</v>
      </c>
      <c r="E11" s="81" t="n">
        <v>2491434</v>
      </c>
      <c r="F11" s="82" t="n">
        <f aca="false">IF(E11="","",IFERROR(E11/$E$141,0))</f>
        <v>0.0330710542757964</v>
      </c>
      <c r="G11" s="83" t="n">
        <f aca="false">E11-C11</f>
        <v>0</v>
      </c>
      <c r="H11" s="84" t="n">
        <f aca="false">IF(C11=0,"",E11/C11-1)</f>
        <v>0</v>
      </c>
      <c r="I11" s="85" t="s">
        <v>248</v>
      </c>
      <c r="J11" s="71"/>
    </row>
    <row r="12" customFormat="false" ht="13.5" hidden="false" customHeight="true" outlineLevel="0" collapsed="false">
      <c r="A12" s="79" t="s">
        <v>257</v>
      </c>
      <c r="B12" s="80" t="s">
        <v>258</v>
      </c>
      <c r="C12" s="81" t="n">
        <v>1885300</v>
      </c>
      <c r="D12" s="82" t="n">
        <f aca="false">IFERROR(C12/$C$141,0)</f>
        <v>0.0248065789473684</v>
      </c>
      <c r="E12" s="81" t="n">
        <v>1885300</v>
      </c>
      <c r="F12" s="82" t="n">
        <f aca="false">IF(E12="","",IFERROR(E12/$E$141,0))</f>
        <v>0.0250252901044776</v>
      </c>
      <c r="G12" s="83" t="n">
        <f aca="false">E12-C12</f>
        <v>0</v>
      </c>
      <c r="H12" s="84" t="n">
        <f aca="false">IF(C12=0,"",E12/C12-1)</f>
        <v>0</v>
      </c>
      <c r="I12" s="85" t="s">
        <v>248</v>
      </c>
      <c r="J12" s="71" t="s">
        <v>259</v>
      </c>
    </row>
    <row r="13" customFormat="false" ht="13.5" hidden="false" customHeight="true" outlineLevel="0" collapsed="false">
      <c r="A13" s="79" t="s">
        <v>260</v>
      </c>
      <c r="B13" s="80" t="s">
        <v>261</v>
      </c>
      <c r="C13" s="81" t="n">
        <v>2257205</v>
      </c>
      <c r="D13" s="82" t="n">
        <f aca="false">IFERROR(C13/$C$141,0)</f>
        <v>0.0297000657894737</v>
      </c>
      <c r="E13" s="81" t="n">
        <v>2257205</v>
      </c>
      <c r="F13" s="82" t="n">
        <f aca="false">IF(E13="","",IFERROR(E13/$E$141,0))</f>
        <v>0.0299619211532792</v>
      </c>
      <c r="G13" s="83" t="n">
        <f aca="false">E13-C13</f>
        <v>0</v>
      </c>
      <c r="H13" s="84" t="n">
        <f aca="false">IF(C13=0,"",E13/C13-1)</f>
        <v>0</v>
      </c>
      <c r="I13" s="85" t="s">
        <v>248</v>
      </c>
      <c r="J13" s="71" t="s">
        <v>262</v>
      </c>
    </row>
    <row r="14" customFormat="false" ht="13.5" hidden="false" customHeight="true" outlineLevel="0" collapsed="false">
      <c r="A14" s="79" t="s">
        <v>263</v>
      </c>
      <c r="B14" s="80" t="s">
        <v>264</v>
      </c>
      <c r="C14" s="81" t="n">
        <v>5700000</v>
      </c>
      <c r="D14" s="82" t="n">
        <f aca="false">IFERROR(C14/$C$141,0)</f>
        <v>0.075</v>
      </c>
      <c r="E14" s="81" t="n">
        <v>5700000</v>
      </c>
      <c r="F14" s="82" t="n">
        <f aca="false">IF(E14="","",IFERROR(E14/$E$141,0))</f>
        <v>0.0756612494539448</v>
      </c>
      <c r="G14" s="83" t="n">
        <f aca="false">E14-C14</f>
        <v>0</v>
      </c>
      <c r="H14" s="84" t="n">
        <f aca="false">IF(C14=0,"",E14/C14-1)</f>
        <v>0</v>
      </c>
      <c r="I14" s="85" t="s">
        <v>248</v>
      </c>
      <c r="J14" s="71" t="s">
        <v>265</v>
      </c>
    </row>
    <row r="15" customFormat="false" ht="13.5" hidden="false" customHeight="true" outlineLevel="0" collapsed="false">
      <c r="A15" s="79" t="s">
        <v>266</v>
      </c>
      <c r="B15" s="80" t="s">
        <v>267</v>
      </c>
      <c r="C15" s="81" t="n">
        <v>150000</v>
      </c>
      <c r="D15" s="82" t="n">
        <f aca="false">IFERROR(C15/$C$141,0)</f>
        <v>0.00197368421052632</v>
      </c>
      <c r="E15" s="81" t="n">
        <v>150000</v>
      </c>
      <c r="F15" s="82" t="n">
        <f aca="false">IF(E15="","",IFERROR(E15/$E$141,0))</f>
        <v>0.00199108551194592</v>
      </c>
      <c r="G15" s="83" t="n">
        <f aca="false">E15-C15</f>
        <v>0</v>
      </c>
      <c r="H15" s="84" t="n">
        <f aca="false">IF(C15=0,"",E15/C15-1)</f>
        <v>0</v>
      </c>
      <c r="I15" s="85" t="s">
        <v>248</v>
      </c>
      <c r="J15" s="71"/>
    </row>
    <row r="16" customFormat="false" ht="15.75" hidden="false" customHeight="true" outlineLevel="0" collapsed="false">
      <c r="A16" s="64" t="s">
        <v>268</v>
      </c>
      <c r="B16" s="65" t="s">
        <v>269</v>
      </c>
      <c r="C16" s="66" t="n">
        <f aca="false">SUM(C17)</f>
        <v>7500000</v>
      </c>
      <c r="D16" s="67" t="n">
        <f aca="false">IFERROR(C16/$C$141,0)</f>
        <v>0.0986842105263158</v>
      </c>
      <c r="E16" s="66" t="n">
        <f aca="false">SUM(E17)</f>
        <v>7500000</v>
      </c>
      <c r="F16" s="67" t="n">
        <f aca="false">IF(E16="","",IFERROR(E16/$E$141,0))</f>
        <v>0.0995542755972958</v>
      </c>
      <c r="G16" s="68" t="n">
        <f aca="false">E16-C16</f>
        <v>0</v>
      </c>
      <c r="H16" s="69" t="n">
        <f aca="false">IF(C16=0,"",E16/C16-1)</f>
        <v>0</v>
      </c>
      <c r="I16" s="70" t="s">
        <v>248</v>
      </c>
      <c r="J16" s="71" t="s">
        <v>270</v>
      </c>
    </row>
    <row r="17" customFormat="false" ht="15.75" hidden="false" customHeight="true" outlineLevel="0" collapsed="false">
      <c r="A17" s="72" t="s">
        <v>271</v>
      </c>
      <c r="B17" s="73" t="s">
        <v>272</v>
      </c>
      <c r="C17" s="74" t="n">
        <f aca="false">SUM(C18)</f>
        <v>7500000</v>
      </c>
      <c r="D17" s="75" t="n">
        <f aca="false">IFERROR(C17/$C$141,0)</f>
        <v>0.0986842105263158</v>
      </c>
      <c r="E17" s="74" t="n">
        <f aca="false">SUM(E18)</f>
        <v>7500000</v>
      </c>
      <c r="F17" s="75" t="n">
        <f aca="false">IF(E17="","",IFERROR(E17/$E$141,0))</f>
        <v>0.0995542755972958</v>
      </c>
      <c r="G17" s="76" t="n">
        <f aca="false">E17-C17</f>
        <v>0</v>
      </c>
      <c r="H17" s="77" t="n">
        <f aca="false">IF(C17=0,"",E17/C17-1)</f>
        <v>0</v>
      </c>
      <c r="I17" s="78" t="s">
        <v>248</v>
      </c>
      <c r="J17" s="71"/>
    </row>
    <row r="18" customFormat="false" ht="13.5" hidden="false" customHeight="true" outlineLevel="0" collapsed="false">
      <c r="A18" s="79" t="s">
        <v>273</v>
      </c>
      <c r="B18" s="80" t="s">
        <v>274</v>
      </c>
      <c r="C18" s="81" t="n">
        <v>7500000</v>
      </c>
      <c r="D18" s="82" t="n">
        <f aca="false">IFERROR(C18/$C$141,0)</f>
        <v>0.0986842105263158</v>
      </c>
      <c r="E18" s="81" t="n">
        <v>7500000</v>
      </c>
      <c r="F18" s="82" t="n">
        <f aca="false">IF(E18="","",IFERROR(E18/$E$141,0))</f>
        <v>0.0995542755972958</v>
      </c>
      <c r="G18" s="83" t="n">
        <f aca="false">E18-C18</f>
        <v>0</v>
      </c>
      <c r="H18" s="84" t="n">
        <f aca="false">IF(C18=0,"",E18/C18-1)</f>
        <v>0</v>
      </c>
      <c r="I18" s="85" t="s">
        <v>248</v>
      </c>
      <c r="J18" s="71" t="s">
        <v>275</v>
      </c>
    </row>
    <row r="19" customFormat="false" ht="15.75" hidden="false" customHeight="true" outlineLevel="0" collapsed="false">
      <c r="A19" s="64" t="s">
        <v>276</v>
      </c>
      <c r="B19" s="65" t="s">
        <v>277</v>
      </c>
      <c r="C19" s="66" t="n">
        <f aca="false">SUM(C20,C21,C30,C46,C50,C55,C59,C61,C76,C89)</f>
        <v>45704000</v>
      </c>
      <c r="D19" s="67" t="n">
        <f aca="false">IFERROR(C19/$C$141,0)</f>
        <v>0.601368421052632</v>
      </c>
      <c r="E19" s="66" t="n">
        <f aca="false">SUM(E20,E21,E30,E46,E50,E55,E59,E61,E76,E89)</f>
        <v>45039790</v>
      </c>
      <c r="F19" s="67" t="n">
        <f aca="false">IF(E19="","",IFERROR(E19/$E$141,0))</f>
        <v>0.597853822200577</v>
      </c>
      <c r="G19" s="68" t="n">
        <f aca="false">E19-C19</f>
        <v>-664210</v>
      </c>
      <c r="H19" s="69" t="n">
        <f aca="false">IF(C19=0,"",E19/C19-1)</f>
        <v>-0.0145328636443199</v>
      </c>
      <c r="I19" s="70" t="s">
        <v>278</v>
      </c>
      <c r="J19" s="71" t="s">
        <v>279</v>
      </c>
    </row>
    <row r="20" customFormat="false" ht="15.75" hidden="false" customHeight="true" outlineLevel="0" collapsed="false">
      <c r="A20" s="72" t="s">
        <v>280</v>
      </c>
      <c r="B20" s="73" t="s">
        <v>281</v>
      </c>
      <c r="C20" s="86" t="n">
        <v>0</v>
      </c>
      <c r="D20" s="75" t="n">
        <f aca="false">IFERROR(C20/$C$141,0)</f>
        <v>0</v>
      </c>
      <c r="E20" s="86" t="n">
        <v>37600000</v>
      </c>
      <c r="F20" s="75" t="n">
        <f aca="false">IF(E20="","",IFERROR(E20/$E$141,0))</f>
        <v>0.499098768327776</v>
      </c>
      <c r="G20" s="76" t="n">
        <f aca="false">E20-C20</f>
        <v>37600000</v>
      </c>
      <c r="H20" s="77" t="str">
        <f aca="false">IF(C20=0,"",E20/C20-1)</f>
        <v/>
      </c>
      <c r="I20" s="87" t="s">
        <v>282</v>
      </c>
      <c r="J20" s="71" t="s">
        <v>283</v>
      </c>
    </row>
    <row r="21" customFormat="false" ht="15.75" hidden="false" customHeight="true" outlineLevel="0" collapsed="false">
      <c r="A21" s="72" t="s">
        <v>284</v>
      </c>
      <c r="B21" s="73" t="s">
        <v>285</v>
      </c>
      <c r="C21" s="74" t="n">
        <f aca="false">SUM(C22,C23,C24,C25,C26,C27,C28,C29)</f>
        <v>15107000</v>
      </c>
      <c r="D21" s="75" t="n">
        <f aca="false">IFERROR(C21/$C$141,0)</f>
        <v>0.198776315789474</v>
      </c>
      <c r="E21" s="74" t="n">
        <f aca="false">SUM(E22,E23,E24,E25,E26,E27,E28,E29)</f>
        <v>555000</v>
      </c>
      <c r="F21" s="75" t="n">
        <f aca="false">IF(E21="","",IFERROR(E21/$E$141,0))</f>
        <v>0.00736701639419989</v>
      </c>
      <c r="G21" s="76" t="n">
        <f aca="false">E21-C21</f>
        <v>-14552000</v>
      </c>
      <c r="H21" s="77" t="n">
        <f aca="false">IF(C21=0,"",E21/C21-1)</f>
        <v>-0.963262063943867</v>
      </c>
      <c r="I21" s="87" t="s">
        <v>282</v>
      </c>
      <c r="J21" s="71" t="s">
        <v>286</v>
      </c>
    </row>
    <row r="22" customFormat="false" ht="13.5" hidden="false" customHeight="true" outlineLevel="0" collapsed="false">
      <c r="A22" s="79" t="s">
        <v>287</v>
      </c>
      <c r="B22" s="80" t="s">
        <v>288</v>
      </c>
      <c r="C22" s="81" t="n">
        <v>500000</v>
      </c>
      <c r="D22" s="82" t="n">
        <f aca="false">IFERROR(C22/$C$141,0)</f>
        <v>0.00657894736842105</v>
      </c>
      <c r="E22" s="81" t="n">
        <v>555000</v>
      </c>
      <c r="F22" s="82" t="n">
        <f aca="false">IF(E22="","",IFERROR(E22/$E$141,0))</f>
        <v>0.00736701639419989</v>
      </c>
      <c r="G22" s="83" t="n">
        <f aca="false">E22-C22</f>
        <v>55000</v>
      </c>
      <c r="H22" s="84" t="n">
        <f aca="false">IF(C22=0,"",E22/C22-1)</f>
        <v>0.11</v>
      </c>
      <c r="I22" s="88" t="s">
        <v>282</v>
      </c>
      <c r="J22" s="71"/>
    </row>
    <row r="23" customFormat="false" ht="13.5" hidden="false" customHeight="true" outlineLevel="0" collapsed="false">
      <c r="A23" s="79" t="s">
        <v>289</v>
      </c>
      <c r="B23" s="80" t="s">
        <v>290</v>
      </c>
      <c r="C23" s="81" t="n">
        <v>750000</v>
      </c>
      <c r="D23" s="82" t="n">
        <f aca="false">IFERROR(C23/$C$141,0)</f>
        <v>0.00986842105263158</v>
      </c>
      <c r="E23" s="40"/>
      <c r="F23" s="82" t="str">
        <f aca="false">IF(E23="","",IFERROR(E23/$E$141,0))</f>
        <v/>
      </c>
      <c r="G23" s="40"/>
      <c r="H23" s="40"/>
      <c r="I23" s="88" t="s">
        <v>282</v>
      </c>
      <c r="J23" s="71"/>
    </row>
    <row r="24" customFormat="false" ht="13.5" hidden="false" customHeight="true" outlineLevel="0" collapsed="false">
      <c r="A24" s="79" t="s">
        <v>291</v>
      </c>
      <c r="B24" s="80" t="s">
        <v>292</v>
      </c>
      <c r="C24" s="81" t="n">
        <v>8200000</v>
      </c>
      <c r="D24" s="82" t="n">
        <f aca="false">IFERROR(C24/$C$141,0)</f>
        <v>0.107894736842105</v>
      </c>
      <c r="E24" s="40"/>
      <c r="F24" s="82" t="str">
        <f aca="false">IF(E24="","",IFERROR(E24/$E$141,0))</f>
        <v/>
      </c>
      <c r="G24" s="40"/>
      <c r="H24" s="40"/>
      <c r="I24" s="88" t="s">
        <v>282</v>
      </c>
      <c r="J24" s="71"/>
    </row>
    <row r="25" customFormat="false" ht="13.5" hidden="false" customHeight="true" outlineLevel="0" collapsed="false">
      <c r="A25" s="79" t="s">
        <v>293</v>
      </c>
      <c r="B25" s="80" t="s">
        <v>294</v>
      </c>
      <c r="C25" s="81" t="n">
        <v>4950000</v>
      </c>
      <c r="D25" s="82" t="n">
        <f aca="false">IFERROR(C25/$C$141,0)</f>
        <v>0.0651315789473684</v>
      </c>
      <c r="E25" s="40"/>
      <c r="F25" s="82" t="str">
        <f aca="false">IF(E25="","",IFERROR(E25/$E$141,0))</f>
        <v/>
      </c>
      <c r="G25" s="40"/>
      <c r="H25" s="40"/>
      <c r="I25" s="88" t="s">
        <v>282</v>
      </c>
      <c r="J25" s="71"/>
    </row>
    <row r="26" customFormat="false" ht="13.5" hidden="false" customHeight="true" outlineLevel="0" collapsed="false">
      <c r="A26" s="79" t="s">
        <v>295</v>
      </c>
      <c r="B26" s="80" t="s">
        <v>296</v>
      </c>
      <c r="C26" s="81" t="n">
        <v>0</v>
      </c>
      <c r="D26" s="82" t="n">
        <f aca="false">IFERROR(C26/$C$141,0)</f>
        <v>0</v>
      </c>
      <c r="E26" s="40"/>
      <c r="F26" s="82" t="str">
        <f aca="false">IF(E26="","",IFERROR(E26/$E$141,0))</f>
        <v/>
      </c>
      <c r="G26" s="40"/>
      <c r="H26" s="40"/>
      <c r="I26" s="88" t="s">
        <v>282</v>
      </c>
      <c r="J26" s="71"/>
    </row>
    <row r="27" customFormat="false" ht="13.5" hidden="false" customHeight="true" outlineLevel="0" collapsed="false">
      <c r="A27" s="79" t="s">
        <v>297</v>
      </c>
      <c r="B27" s="80" t="s">
        <v>298</v>
      </c>
      <c r="C27" s="81" t="n">
        <v>10000</v>
      </c>
      <c r="D27" s="82" t="n">
        <f aca="false">IFERROR(C27/$C$141,0)</f>
        <v>0.000131578947368421</v>
      </c>
      <c r="E27" s="40"/>
      <c r="F27" s="82" t="str">
        <f aca="false">IF(E27="","",IFERROR(E27/$E$141,0))</f>
        <v/>
      </c>
      <c r="G27" s="40"/>
      <c r="H27" s="40"/>
      <c r="I27" s="88" t="s">
        <v>282</v>
      </c>
      <c r="J27" s="71"/>
    </row>
    <row r="28" customFormat="false" ht="13.5" hidden="false" customHeight="true" outlineLevel="0" collapsed="false">
      <c r="A28" s="79" t="s">
        <v>299</v>
      </c>
      <c r="B28" s="80" t="s">
        <v>300</v>
      </c>
      <c r="C28" s="81" t="n">
        <v>648000</v>
      </c>
      <c r="D28" s="82" t="n">
        <f aca="false">IFERROR(C28/$C$141,0)</f>
        <v>0.00852631578947368</v>
      </c>
      <c r="E28" s="40"/>
      <c r="F28" s="82" t="str">
        <f aca="false">IF(E28="","",IFERROR(E28/$E$141,0))</f>
        <v/>
      </c>
      <c r="G28" s="40"/>
      <c r="H28" s="40"/>
      <c r="I28" s="88" t="s">
        <v>282</v>
      </c>
      <c r="J28" s="71"/>
    </row>
    <row r="29" customFormat="false" ht="13.5" hidden="false" customHeight="true" outlineLevel="0" collapsed="false">
      <c r="A29" s="79" t="s">
        <v>301</v>
      </c>
      <c r="B29" s="80" t="s">
        <v>302</v>
      </c>
      <c r="C29" s="81" t="n">
        <v>49000</v>
      </c>
      <c r="D29" s="82" t="n">
        <f aca="false">IFERROR(C29/$C$141,0)</f>
        <v>0.000644736842105263</v>
      </c>
      <c r="E29" s="40"/>
      <c r="F29" s="82" t="str">
        <f aca="false">IF(E29="","",IFERROR(E29/$E$141,0))</f>
        <v/>
      </c>
      <c r="G29" s="40"/>
      <c r="H29" s="40"/>
      <c r="I29" s="88" t="s">
        <v>282</v>
      </c>
      <c r="J29" s="71"/>
    </row>
    <row r="30" customFormat="false" ht="15.75" hidden="false" customHeight="true" outlineLevel="0" collapsed="false">
      <c r="A30" s="72" t="s">
        <v>303</v>
      </c>
      <c r="B30" s="73" t="s">
        <v>304</v>
      </c>
      <c r="C30" s="74" t="n">
        <f aca="false">SUM(C31,C35,C36,C39,C41,C43)</f>
        <v>8083980</v>
      </c>
      <c r="D30" s="75" t="n">
        <f aca="false">IFERROR(C30/$C$141,0)</f>
        <v>0.106368157894737</v>
      </c>
      <c r="E30" s="74" t="n">
        <f aca="false">SUM(E31,E35,E36,E39,E41,E43)</f>
        <v>0</v>
      </c>
      <c r="F30" s="75" t="n">
        <f aca="false">IF(E30="","",IFERROR(E30/$E$141,0))</f>
        <v>0</v>
      </c>
      <c r="G30" s="76" t="n">
        <f aca="false">E30-C30</f>
        <v>-8083980</v>
      </c>
      <c r="H30" s="77" t="n">
        <f aca="false">IF(C30=0,"",E30/C30-1)</f>
        <v>-1</v>
      </c>
      <c r="I30" s="87" t="s">
        <v>282</v>
      </c>
      <c r="J30" s="71" t="s">
        <v>305</v>
      </c>
    </row>
    <row r="31" customFormat="false" ht="13.5" hidden="false" customHeight="true" outlineLevel="0" collapsed="false">
      <c r="A31" s="79" t="s">
        <v>306</v>
      </c>
      <c r="B31" s="80" t="s">
        <v>307</v>
      </c>
      <c r="C31" s="89" t="n">
        <f aca="false">SUM(C32,C33,C34)</f>
        <v>3623000</v>
      </c>
      <c r="D31" s="82" t="n">
        <f aca="false">IFERROR(C31/$C$141,0)</f>
        <v>0.047671052631579</v>
      </c>
      <c r="E31" s="89" t="n">
        <f aca="false">SUM(E32,E33,E34)</f>
        <v>0</v>
      </c>
      <c r="F31" s="82" t="n">
        <f aca="false">IF(E31="","",IFERROR(E31/$E$141,0))</f>
        <v>0</v>
      </c>
      <c r="G31" s="83" t="n">
        <f aca="false">E31-C31</f>
        <v>-3623000</v>
      </c>
      <c r="H31" s="84" t="n">
        <f aca="false">IF(C31=0,"",E31/C31-1)</f>
        <v>-1</v>
      </c>
      <c r="I31" s="88" t="s">
        <v>282</v>
      </c>
      <c r="J31" s="71"/>
    </row>
    <row r="32" customFormat="false" ht="13.5" hidden="false" customHeight="true" outlineLevel="0" collapsed="false">
      <c r="A32" s="79" t="s">
        <v>308</v>
      </c>
      <c r="B32" s="90" t="s">
        <v>309</v>
      </c>
      <c r="C32" s="81" t="n">
        <v>1700000</v>
      </c>
      <c r="D32" s="82" t="n">
        <f aca="false">IFERROR(C32/$C$141,0)</f>
        <v>0.0223684210526316</v>
      </c>
      <c r="E32" s="40"/>
      <c r="F32" s="82" t="str">
        <f aca="false">IF(E32="","",IFERROR(E32/$E$141,0))</f>
        <v/>
      </c>
      <c r="G32" s="40"/>
      <c r="H32" s="40"/>
      <c r="I32" s="88" t="s">
        <v>282</v>
      </c>
      <c r="J32" s="71"/>
    </row>
    <row r="33" customFormat="false" ht="13.5" hidden="false" customHeight="true" outlineLevel="0" collapsed="false">
      <c r="A33" s="79" t="s">
        <v>310</v>
      </c>
      <c r="B33" s="90" t="s">
        <v>311</v>
      </c>
      <c r="C33" s="81" t="n">
        <v>720000</v>
      </c>
      <c r="D33" s="82" t="n">
        <f aca="false">IFERROR(C33/$C$141,0)</f>
        <v>0.00947368421052632</v>
      </c>
      <c r="E33" s="40"/>
      <c r="F33" s="82" t="str">
        <f aca="false">IF(E33="","",IFERROR(E33/$E$141,0))</f>
        <v/>
      </c>
      <c r="G33" s="40"/>
      <c r="H33" s="40"/>
      <c r="I33" s="88" t="s">
        <v>282</v>
      </c>
      <c r="J33" s="71"/>
    </row>
    <row r="34" customFormat="false" ht="13.5" hidden="false" customHeight="true" outlineLevel="0" collapsed="false">
      <c r="A34" s="79" t="s">
        <v>312</v>
      </c>
      <c r="B34" s="90" t="s">
        <v>313</v>
      </c>
      <c r="C34" s="81" t="n">
        <v>1203000</v>
      </c>
      <c r="D34" s="82" t="n">
        <f aca="false">IFERROR(C34/$C$141,0)</f>
        <v>0.0158289473684211</v>
      </c>
      <c r="E34" s="40"/>
      <c r="F34" s="82" t="str">
        <f aca="false">IF(E34="","",IFERROR(E34/$E$141,0))</f>
        <v/>
      </c>
      <c r="G34" s="40"/>
      <c r="H34" s="40"/>
      <c r="I34" s="88" t="s">
        <v>282</v>
      </c>
      <c r="J34" s="71"/>
    </row>
    <row r="35" customFormat="false" ht="13.5" hidden="false" customHeight="true" outlineLevel="0" collapsed="false">
      <c r="A35" s="79" t="s">
        <v>314</v>
      </c>
      <c r="B35" s="80" t="s">
        <v>315</v>
      </c>
      <c r="C35" s="81" t="n">
        <v>0</v>
      </c>
      <c r="D35" s="82" t="n">
        <f aca="false">IFERROR(C35/$C$141,0)</f>
        <v>0</v>
      </c>
      <c r="E35" s="40"/>
      <c r="F35" s="82" t="str">
        <f aca="false">IF(E35="","",IFERROR(E35/$E$141,0))</f>
        <v/>
      </c>
      <c r="G35" s="40"/>
      <c r="H35" s="40"/>
      <c r="I35" s="88" t="s">
        <v>282</v>
      </c>
      <c r="J35" s="71"/>
    </row>
    <row r="36" customFormat="false" ht="13.5" hidden="false" customHeight="true" outlineLevel="0" collapsed="false">
      <c r="A36" s="79" t="s">
        <v>316</v>
      </c>
      <c r="B36" s="80" t="s">
        <v>317</v>
      </c>
      <c r="C36" s="89" t="n">
        <f aca="false">SUM(C37,C38)</f>
        <v>2762000</v>
      </c>
      <c r="D36" s="82" t="n">
        <f aca="false">IFERROR(C36/$C$141,0)</f>
        <v>0.0363421052631579</v>
      </c>
      <c r="E36" s="89" t="n">
        <f aca="false">SUM(E37,E38)</f>
        <v>0</v>
      </c>
      <c r="F36" s="82" t="n">
        <f aca="false">IF(E36="","",IFERROR(E36/$E$141,0))</f>
        <v>0</v>
      </c>
      <c r="G36" s="83" t="n">
        <f aca="false">E36-C36</f>
        <v>-2762000</v>
      </c>
      <c r="H36" s="84" t="n">
        <f aca="false">IF(C36=0,"",E36/C36-1)</f>
        <v>-1</v>
      </c>
      <c r="I36" s="88" t="s">
        <v>282</v>
      </c>
      <c r="J36" s="71"/>
    </row>
    <row r="37" customFormat="false" ht="13.5" hidden="false" customHeight="true" outlineLevel="0" collapsed="false">
      <c r="A37" s="79" t="s">
        <v>318</v>
      </c>
      <c r="B37" s="90" t="s">
        <v>319</v>
      </c>
      <c r="C37" s="81" t="n">
        <v>2482000</v>
      </c>
      <c r="D37" s="82" t="n">
        <f aca="false">IFERROR(C37/$C$141,0)</f>
        <v>0.0326578947368421</v>
      </c>
      <c r="E37" s="40"/>
      <c r="F37" s="82" t="str">
        <f aca="false">IF(E37="","",IFERROR(E37/$E$141,0))</f>
        <v/>
      </c>
      <c r="G37" s="40"/>
      <c r="H37" s="40"/>
      <c r="I37" s="88" t="s">
        <v>282</v>
      </c>
      <c r="J37" s="71"/>
    </row>
    <row r="38" customFormat="false" ht="13.5" hidden="false" customHeight="true" outlineLevel="0" collapsed="false">
      <c r="A38" s="79" t="s">
        <v>320</v>
      </c>
      <c r="B38" s="90" t="s">
        <v>321</v>
      </c>
      <c r="C38" s="81" t="n">
        <v>280000</v>
      </c>
      <c r="D38" s="82" t="n">
        <f aca="false">IFERROR(C38/$C$141,0)</f>
        <v>0.00368421052631579</v>
      </c>
      <c r="E38" s="40"/>
      <c r="F38" s="82" t="str">
        <f aca="false">IF(E38="","",IFERROR(E38/$E$141,0))</f>
        <v/>
      </c>
      <c r="G38" s="40"/>
      <c r="H38" s="40"/>
      <c r="I38" s="88" t="s">
        <v>282</v>
      </c>
      <c r="J38" s="71"/>
    </row>
    <row r="39" customFormat="false" ht="13.5" hidden="false" customHeight="true" outlineLevel="0" collapsed="false">
      <c r="A39" s="79" t="s">
        <v>322</v>
      </c>
      <c r="B39" s="80" t="s">
        <v>323</v>
      </c>
      <c r="C39" s="89" t="n">
        <f aca="false">SUM(C40)</f>
        <v>60000</v>
      </c>
      <c r="D39" s="82" t="n">
        <f aca="false">IFERROR(C39/$C$141,0)</f>
        <v>0.000789473684210526</v>
      </c>
      <c r="E39" s="89" t="n">
        <f aca="false">SUM(E40)</f>
        <v>0</v>
      </c>
      <c r="F39" s="82" t="n">
        <f aca="false">IF(E39="","",IFERROR(E39/$E$141,0))</f>
        <v>0</v>
      </c>
      <c r="G39" s="83" t="n">
        <f aca="false">E39-C39</f>
        <v>-60000</v>
      </c>
      <c r="H39" s="84" t="n">
        <f aca="false">IF(C39=0,"",E39/C39-1)</f>
        <v>-1</v>
      </c>
      <c r="I39" s="88" t="s">
        <v>282</v>
      </c>
      <c r="J39" s="71"/>
    </row>
    <row r="40" customFormat="false" ht="13.5" hidden="false" customHeight="true" outlineLevel="0" collapsed="false">
      <c r="A40" s="79" t="s">
        <v>324</v>
      </c>
      <c r="B40" s="90" t="s">
        <v>325</v>
      </c>
      <c r="C40" s="81" t="n">
        <v>60000</v>
      </c>
      <c r="D40" s="82" t="n">
        <f aca="false">IFERROR(C40/$C$141,0)</f>
        <v>0.000789473684210526</v>
      </c>
      <c r="E40" s="40"/>
      <c r="F40" s="82" t="str">
        <f aca="false">IF(E40="","",IFERROR(E40/$E$141,0))</f>
        <v/>
      </c>
      <c r="G40" s="40"/>
      <c r="H40" s="40"/>
      <c r="I40" s="88" t="s">
        <v>282</v>
      </c>
      <c r="J40" s="71"/>
    </row>
    <row r="41" customFormat="false" ht="13.5" hidden="false" customHeight="true" outlineLevel="0" collapsed="false">
      <c r="A41" s="79" t="s">
        <v>326</v>
      </c>
      <c r="B41" s="80" t="s">
        <v>327</v>
      </c>
      <c r="C41" s="89" t="n">
        <f aca="false">SUM(C42)</f>
        <v>1430000</v>
      </c>
      <c r="D41" s="82" t="n">
        <f aca="false">IFERROR(C41/$C$141,0)</f>
        <v>0.0188157894736842</v>
      </c>
      <c r="E41" s="89" t="n">
        <f aca="false">SUM(E42)</f>
        <v>0</v>
      </c>
      <c r="F41" s="82" t="n">
        <f aca="false">IF(E41="","",IFERROR(E41/$E$141,0))</f>
        <v>0</v>
      </c>
      <c r="G41" s="83" t="n">
        <f aca="false">E41-C41</f>
        <v>-1430000</v>
      </c>
      <c r="H41" s="84" t="n">
        <f aca="false">IF(C41=0,"",E41/C41-1)</f>
        <v>-1</v>
      </c>
      <c r="I41" s="88" t="s">
        <v>282</v>
      </c>
      <c r="J41" s="71"/>
    </row>
    <row r="42" customFormat="false" ht="13.5" hidden="false" customHeight="true" outlineLevel="0" collapsed="false">
      <c r="A42" s="79" t="s">
        <v>328</v>
      </c>
      <c r="B42" s="90" t="s">
        <v>329</v>
      </c>
      <c r="C42" s="81" t="n">
        <v>1430000</v>
      </c>
      <c r="D42" s="82" t="n">
        <f aca="false">IFERROR(C42/$C$141,0)</f>
        <v>0.0188157894736842</v>
      </c>
      <c r="E42" s="40"/>
      <c r="F42" s="82" t="str">
        <f aca="false">IF(E42="","",IFERROR(E42/$E$141,0))</f>
        <v/>
      </c>
      <c r="G42" s="40"/>
      <c r="H42" s="40"/>
      <c r="I42" s="88" t="s">
        <v>282</v>
      </c>
      <c r="J42" s="71"/>
    </row>
    <row r="43" customFormat="false" ht="13.5" hidden="false" customHeight="true" outlineLevel="0" collapsed="false">
      <c r="A43" s="79" t="s">
        <v>330</v>
      </c>
      <c r="B43" s="80" t="s">
        <v>331</v>
      </c>
      <c r="C43" s="89" t="n">
        <f aca="false">SUM(C44,C45)</f>
        <v>208980</v>
      </c>
      <c r="D43" s="82" t="n">
        <f aca="false">IFERROR(C43/$C$141,0)</f>
        <v>0.00274973684210526</v>
      </c>
      <c r="E43" s="89" t="n">
        <f aca="false">SUM(E44,E45)</f>
        <v>0</v>
      </c>
      <c r="F43" s="82" t="n">
        <f aca="false">IF(E43="","",IFERROR(E43/$E$141,0))</f>
        <v>0</v>
      </c>
      <c r="G43" s="83" t="n">
        <f aca="false">E43-C43</f>
        <v>-208980</v>
      </c>
      <c r="H43" s="84" t="n">
        <f aca="false">IF(C43=0,"",E43/C43-1)</f>
        <v>-1</v>
      </c>
      <c r="I43" s="88" t="s">
        <v>282</v>
      </c>
      <c r="J43" s="71"/>
    </row>
    <row r="44" customFormat="false" ht="13.5" hidden="false" customHeight="true" outlineLevel="0" collapsed="false">
      <c r="A44" s="79" t="s">
        <v>332</v>
      </c>
      <c r="B44" s="90" t="s">
        <v>333</v>
      </c>
      <c r="C44" s="81" t="n">
        <v>208980</v>
      </c>
      <c r="D44" s="82" t="n">
        <f aca="false">IFERROR(C44/$C$141,0)</f>
        <v>0.00274973684210526</v>
      </c>
      <c r="E44" s="40"/>
      <c r="F44" s="82" t="str">
        <f aca="false">IF(E44="","",IFERROR(E44/$E$141,0))</f>
        <v/>
      </c>
      <c r="G44" s="40"/>
      <c r="H44" s="40"/>
      <c r="I44" s="88" t="s">
        <v>282</v>
      </c>
      <c r="J44" s="71"/>
    </row>
    <row r="45" customFormat="false" ht="13.5" hidden="false" customHeight="true" outlineLevel="0" collapsed="false">
      <c r="A45" s="79" t="s">
        <v>334</v>
      </c>
      <c r="B45" s="90" t="s">
        <v>335</v>
      </c>
      <c r="C45" s="81" t="n">
        <v>0</v>
      </c>
      <c r="D45" s="82" t="n">
        <f aca="false">IFERROR(C45/$C$141,0)</f>
        <v>0</v>
      </c>
      <c r="E45" s="40"/>
      <c r="F45" s="82" t="str">
        <f aca="false">IF(E45="","",IFERROR(E45/$E$141,0))</f>
        <v/>
      </c>
      <c r="G45" s="40"/>
      <c r="H45" s="40"/>
      <c r="I45" s="88" t="s">
        <v>282</v>
      </c>
      <c r="J45" s="71"/>
    </row>
    <row r="46" customFormat="false" ht="15.75" hidden="false" customHeight="true" outlineLevel="0" collapsed="false">
      <c r="A46" s="72" t="s">
        <v>336</v>
      </c>
      <c r="B46" s="73" t="s">
        <v>337</v>
      </c>
      <c r="C46" s="74" t="n">
        <f aca="false">SUM(C47,C48,C49)</f>
        <v>4250000</v>
      </c>
      <c r="D46" s="75" t="n">
        <f aca="false">IFERROR(C46/$C$141,0)</f>
        <v>0.055921052631579</v>
      </c>
      <c r="E46" s="74" t="n">
        <f aca="false">SUM(E47,E48,E49)</f>
        <v>1000000</v>
      </c>
      <c r="F46" s="75" t="n">
        <f aca="false">IF(E46="","",IFERROR(E46/$E$141,0))</f>
        <v>0.0132739034129728</v>
      </c>
      <c r="G46" s="76" t="n">
        <f aca="false">E46-C46</f>
        <v>-3250000</v>
      </c>
      <c r="H46" s="77" t="n">
        <f aca="false">IF(C46=0,"",E46/C46-1)</f>
        <v>-0.764705882352941</v>
      </c>
      <c r="I46" s="87" t="s">
        <v>282</v>
      </c>
      <c r="J46" s="71" t="s">
        <v>338</v>
      </c>
    </row>
    <row r="47" customFormat="false" ht="13.5" hidden="false" customHeight="true" outlineLevel="0" collapsed="false">
      <c r="A47" s="79" t="s">
        <v>339</v>
      </c>
      <c r="B47" s="80" t="s">
        <v>337</v>
      </c>
      <c r="C47" s="81" t="n">
        <v>2817000</v>
      </c>
      <c r="D47" s="82" t="n">
        <f aca="false">IFERROR(C47/$C$141,0)</f>
        <v>0.0370657894736842</v>
      </c>
      <c r="E47" s="40"/>
      <c r="F47" s="82" t="str">
        <f aca="false">IF(E47="","",IFERROR(E47/$E$141,0))</f>
        <v/>
      </c>
      <c r="G47" s="40"/>
      <c r="H47" s="40"/>
      <c r="I47" s="88" t="s">
        <v>282</v>
      </c>
      <c r="J47" s="71"/>
    </row>
    <row r="48" customFormat="false" ht="13.5" hidden="false" customHeight="true" outlineLevel="0" collapsed="false">
      <c r="A48" s="79" t="s">
        <v>340</v>
      </c>
      <c r="B48" s="80" t="s">
        <v>341</v>
      </c>
      <c r="C48" s="81" t="n">
        <v>433000</v>
      </c>
      <c r="D48" s="82" t="n">
        <f aca="false">IFERROR(C48/$C$141,0)</f>
        <v>0.00569736842105263</v>
      </c>
      <c r="E48" s="40"/>
      <c r="F48" s="82" t="str">
        <f aca="false">IF(E48="","",IFERROR(E48/$E$141,0))</f>
        <v/>
      </c>
      <c r="G48" s="40"/>
      <c r="H48" s="40"/>
      <c r="I48" s="88" t="s">
        <v>282</v>
      </c>
      <c r="J48" s="71"/>
    </row>
    <row r="49" customFormat="false" ht="13.5" hidden="false" customHeight="true" outlineLevel="0" collapsed="false">
      <c r="A49" s="79" t="s">
        <v>342</v>
      </c>
      <c r="B49" s="80" t="s">
        <v>343</v>
      </c>
      <c r="C49" s="81" t="n">
        <v>1000000</v>
      </c>
      <c r="D49" s="82" t="n">
        <f aca="false">IFERROR(C49/$C$141,0)</f>
        <v>0.0131578947368421</v>
      </c>
      <c r="E49" s="81" t="n">
        <v>1000000</v>
      </c>
      <c r="F49" s="82" t="n">
        <f aca="false">IF(E49="","",IFERROR(E49/$E$141,0))</f>
        <v>0.0132739034129728</v>
      </c>
      <c r="G49" s="83" t="n">
        <f aca="false">E49-C49</f>
        <v>0</v>
      </c>
      <c r="H49" s="84" t="n">
        <f aca="false">IF(C49=0,"",E49/C49-1)</f>
        <v>0</v>
      </c>
      <c r="I49" s="85" t="s">
        <v>248</v>
      </c>
      <c r="J49" s="71" t="s">
        <v>344</v>
      </c>
    </row>
    <row r="50" customFormat="false" ht="15.75" hidden="false" customHeight="true" outlineLevel="0" collapsed="false">
      <c r="A50" s="72" t="s">
        <v>345</v>
      </c>
      <c r="B50" s="73" t="s">
        <v>346</v>
      </c>
      <c r="C50" s="74" t="n">
        <f aca="false">SUM(C51,C52,C53,C54)</f>
        <v>2770000</v>
      </c>
      <c r="D50" s="75" t="n">
        <f aca="false">IFERROR(C50/$C$141,0)</f>
        <v>0.0364473684210526</v>
      </c>
      <c r="E50" s="74" t="n">
        <f aca="false">SUM(E51,E52,E53,E54)</f>
        <v>0</v>
      </c>
      <c r="F50" s="75" t="n">
        <f aca="false">IF(E50="","",IFERROR(E50/$E$141,0))</f>
        <v>0</v>
      </c>
      <c r="G50" s="76" t="n">
        <f aca="false">E50-C50</f>
        <v>-2770000</v>
      </c>
      <c r="H50" s="77" t="n">
        <f aca="false">IF(C50=0,"",E50/C50-1)</f>
        <v>-1</v>
      </c>
      <c r="I50" s="87" t="s">
        <v>282</v>
      </c>
      <c r="J50" s="71" t="s">
        <v>305</v>
      </c>
    </row>
    <row r="51" customFormat="false" ht="13.5" hidden="false" customHeight="true" outlineLevel="0" collapsed="false">
      <c r="A51" s="79" t="s">
        <v>347</v>
      </c>
      <c r="B51" s="80" t="s">
        <v>348</v>
      </c>
      <c r="C51" s="81" t="n">
        <v>1970000</v>
      </c>
      <c r="D51" s="82" t="n">
        <f aca="false">IFERROR(C51/$C$141,0)</f>
        <v>0.025921052631579</v>
      </c>
      <c r="E51" s="40"/>
      <c r="F51" s="82" t="str">
        <f aca="false">IF(E51="","",IFERROR(E51/$E$141,0))</f>
        <v/>
      </c>
      <c r="G51" s="40"/>
      <c r="H51" s="40"/>
      <c r="I51" s="88" t="s">
        <v>282</v>
      </c>
      <c r="J51" s="71"/>
    </row>
    <row r="52" customFormat="false" ht="13.5" hidden="false" customHeight="true" outlineLevel="0" collapsed="false">
      <c r="A52" s="79" t="s">
        <v>349</v>
      </c>
      <c r="B52" s="80" t="s">
        <v>350</v>
      </c>
      <c r="C52" s="81" t="n">
        <v>0</v>
      </c>
      <c r="D52" s="82" t="n">
        <f aca="false">IFERROR(C52/$C$141,0)</f>
        <v>0</v>
      </c>
      <c r="E52" s="40"/>
      <c r="F52" s="82" t="str">
        <f aca="false">IF(E52="","",IFERROR(E52/$E$141,0))</f>
        <v/>
      </c>
      <c r="G52" s="40"/>
      <c r="H52" s="40"/>
      <c r="I52" s="88" t="s">
        <v>282</v>
      </c>
      <c r="J52" s="71"/>
    </row>
    <row r="53" customFormat="false" ht="13.5" hidden="false" customHeight="true" outlineLevel="0" collapsed="false">
      <c r="A53" s="79" t="s">
        <v>351</v>
      </c>
      <c r="B53" s="80" t="s">
        <v>352</v>
      </c>
      <c r="C53" s="81" t="n">
        <v>0</v>
      </c>
      <c r="D53" s="82" t="n">
        <f aca="false">IFERROR(C53/$C$141,0)</f>
        <v>0</v>
      </c>
      <c r="E53" s="40"/>
      <c r="F53" s="82" t="str">
        <f aca="false">IF(E53="","",IFERROR(E53/$E$141,0))</f>
        <v/>
      </c>
      <c r="G53" s="40"/>
      <c r="H53" s="40"/>
      <c r="I53" s="88" t="s">
        <v>282</v>
      </c>
      <c r="J53" s="71"/>
    </row>
    <row r="54" customFormat="false" ht="13.5" hidden="false" customHeight="true" outlineLevel="0" collapsed="false">
      <c r="A54" s="79" t="s">
        <v>353</v>
      </c>
      <c r="B54" s="80" t="s">
        <v>354</v>
      </c>
      <c r="C54" s="81" t="n">
        <v>800000</v>
      </c>
      <c r="D54" s="82" t="n">
        <f aca="false">IFERROR(C54/$C$141,0)</f>
        <v>0.0105263157894737</v>
      </c>
      <c r="E54" s="40"/>
      <c r="F54" s="82" t="str">
        <f aca="false">IF(E54="","",IFERROR(E54/$E$141,0))</f>
        <v/>
      </c>
      <c r="G54" s="40"/>
      <c r="H54" s="40"/>
      <c r="I54" s="88" t="s">
        <v>282</v>
      </c>
      <c r="J54" s="71"/>
    </row>
    <row r="55" customFormat="false" ht="15.75" hidden="false" customHeight="true" outlineLevel="0" collapsed="false">
      <c r="A55" s="72" t="s">
        <v>355</v>
      </c>
      <c r="B55" s="73" t="s">
        <v>356</v>
      </c>
      <c r="C55" s="74" t="n">
        <f aca="false">SUM(C56,C57,C58)</f>
        <v>3380000</v>
      </c>
      <c r="D55" s="75" t="n">
        <f aca="false">IFERROR(C55/$C$141,0)</f>
        <v>0.0444736842105263</v>
      </c>
      <c r="E55" s="74" t="n">
        <f aca="false">SUM(E56,E57,E58)</f>
        <v>0</v>
      </c>
      <c r="F55" s="75" t="n">
        <f aca="false">IF(E55="","",IFERROR(E55/$E$141,0))</f>
        <v>0</v>
      </c>
      <c r="G55" s="76" t="n">
        <f aca="false">E55-C55</f>
        <v>-3380000</v>
      </c>
      <c r="H55" s="77" t="n">
        <f aca="false">IF(C55=0,"",E55/C55-1)</f>
        <v>-1</v>
      </c>
      <c r="I55" s="87" t="s">
        <v>282</v>
      </c>
      <c r="J55" s="71" t="s">
        <v>305</v>
      </c>
    </row>
    <row r="56" customFormat="false" ht="13.5" hidden="false" customHeight="true" outlineLevel="0" collapsed="false">
      <c r="A56" s="79" t="s">
        <v>357</v>
      </c>
      <c r="B56" s="80" t="s">
        <v>358</v>
      </c>
      <c r="C56" s="81" t="n">
        <v>2484000</v>
      </c>
      <c r="D56" s="82" t="n">
        <f aca="false">IFERROR(C56/$C$141,0)</f>
        <v>0.0326842105263158</v>
      </c>
      <c r="E56" s="40"/>
      <c r="F56" s="82" t="str">
        <f aca="false">IF(E56="","",IFERROR(E56/$E$141,0))</f>
        <v/>
      </c>
      <c r="G56" s="40"/>
      <c r="H56" s="40"/>
      <c r="I56" s="88" t="s">
        <v>282</v>
      </c>
      <c r="J56" s="71"/>
    </row>
    <row r="57" customFormat="false" ht="13.5" hidden="false" customHeight="true" outlineLevel="0" collapsed="false">
      <c r="A57" s="79" t="s">
        <v>359</v>
      </c>
      <c r="B57" s="80" t="s">
        <v>360</v>
      </c>
      <c r="C57" s="81" t="n">
        <v>96000</v>
      </c>
      <c r="D57" s="82" t="n">
        <f aca="false">IFERROR(C57/$C$141,0)</f>
        <v>0.00126315789473684</v>
      </c>
      <c r="E57" s="40"/>
      <c r="F57" s="82" t="str">
        <f aca="false">IF(E57="","",IFERROR(E57/$E$141,0))</f>
        <v/>
      </c>
      <c r="G57" s="40"/>
      <c r="H57" s="40"/>
      <c r="I57" s="88" t="s">
        <v>282</v>
      </c>
      <c r="J57" s="71"/>
    </row>
    <row r="58" customFormat="false" ht="13.5" hidden="false" customHeight="true" outlineLevel="0" collapsed="false">
      <c r="A58" s="79" t="s">
        <v>361</v>
      </c>
      <c r="B58" s="80" t="s">
        <v>362</v>
      </c>
      <c r="C58" s="81" t="n">
        <v>800000</v>
      </c>
      <c r="D58" s="82" t="n">
        <f aca="false">IFERROR(C58/$C$141,0)</f>
        <v>0.0105263157894737</v>
      </c>
      <c r="E58" s="40"/>
      <c r="F58" s="82" t="str">
        <f aca="false">IF(E58="","",IFERROR(E58/$E$141,0))</f>
        <v/>
      </c>
      <c r="G58" s="40"/>
      <c r="H58" s="40"/>
      <c r="I58" s="88" t="s">
        <v>282</v>
      </c>
      <c r="J58" s="71"/>
    </row>
    <row r="59" customFormat="false" ht="15.75" hidden="false" customHeight="true" outlineLevel="0" collapsed="false">
      <c r="A59" s="72" t="s">
        <v>363</v>
      </c>
      <c r="B59" s="73" t="s">
        <v>364</v>
      </c>
      <c r="C59" s="74" t="n">
        <f aca="false">SUM(C60)</f>
        <v>768000</v>
      </c>
      <c r="D59" s="75" t="n">
        <f aca="false">IFERROR(C59/$C$141,0)</f>
        <v>0.0101052631578947</v>
      </c>
      <c r="E59" s="74" t="n">
        <f aca="false">SUM(E60)</f>
        <v>0</v>
      </c>
      <c r="F59" s="75" t="n">
        <f aca="false">IF(E59="","",IFERROR(E59/$E$141,0))</f>
        <v>0</v>
      </c>
      <c r="G59" s="76" t="n">
        <f aca="false">E59-C59</f>
        <v>-768000</v>
      </c>
      <c r="H59" s="77" t="n">
        <f aca="false">IF(C59=0,"",E59/C59-1)</f>
        <v>-1</v>
      </c>
      <c r="I59" s="87" t="s">
        <v>282</v>
      </c>
      <c r="J59" s="71" t="s">
        <v>305</v>
      </c>
    </row>
    <row r="60" customFormat="false" ht="13.5" hidden="false" customHeight="true" outlineLevel="0" collapsed="false">
      <c r="A60" s="79" t="s">
        <v>365</v>
      </c>
      <c r="B60" s="80" t="s">
        <v>366</v>
      </c>
      <c r="C60" s="81" t="n">
        <v>768000</v>
      </c>
      <c r="D60" s="82" t="n">
        <f aca="false">IFERROR(C60/$C$141,0)</f>
        <v>0.0101052631578947</v>
      </c>
      <c r="E60" s="40"/>
      <c r="F60" s="82" t="str">
        <f aca="false">IF(E60="","",IFERROR(E60/$E$141,0))</f>
        <v/>
      </c>
      <c r="G60" s="40"/>
      <c r="H60" s="40"/>
      <c r="I60" s="88" t="s">
        <v>282</v>
      </c>
      <c r="J60" s="71"/>
    </row>
    <row r="61" customFormat="false" ht="15.75" hidden="false" customHeight="true" outlineLevel="0" collapsed="false">
      <c r="A61" s="72" t="s">
        <v>367</v>
      </c>
      <c r="B61" s="73" t="s">
        <v>368</v>
      </c>
      <c r="C61" s="74" t="n">
        <f aca="false">SUM(C62,C65,C68,C72,C73,C74,C75)</f>
        <v>1769110</v>
      </c>
      <c r="D61" s="75" t="n">
        <f aca="false">IFERROR(C61/$C$141,0)</f>
        <v>0.0232777631578947</v>
      </c>
      <c r="E61" s="74" t="n">
        <f aca="false">SUM(E62,E65,E68,E72,E73,E74,E75)</f>
        <v>0</v>
      </c>
      <c r="F61" s="75" t="n">
        <f aca="false">IF(E61="","",IFERROR(E61/$E$141,0))</f>
        <v>0</v>
      </c>
      <c r="G61" s="76" t="n">
        <f aca="false">E61-C61</f>
        <v>-1769110</v>
      </c>
      <c r="H61" s="77" t="n">
        <f aca="false">IF(C61=0,"",E61/C61-1)</f>
        <v>-1</v>
      </c>
      <c r="I61" s="87" t="s">
        <v>282</v>
      </c>
      <c r="J61" s="71" t="s">
        <v>305</v>
      </c>
    </row>
    <row r="62" customFormat="false" ht="13.5" hidden="false" customHeight="true" outlineLevel="0" collapsed="false">
      <c r="A62" s="79" t="s">
        <v>369</v>
      </c>
      <c r="B62" s="80" t="s">
        <v>370</v>
      </c>
      <c r="C62" s="89" t="n">
        <f aca="false">SUM(C63,C64)</f>
        <v>640060</v>
      </c>
      <c r="D62" s="82" t="n">
        <f aca="false">IFERROR(C62/$C$141,0)</f>
        <v>0.00842184210526316</v>
      </c>
      <c r="E62" s="89" t="n">
        <f aca="false">SUM(E63,E64)</f>
        <v>0</v>
      </c>
      <c r="F62" s="82" t="n">
        <f aca="false">IF(E62="","",IFERROR(E62/$E$141,0))</f>
        <v>0</v>
      </c>
      <c r="G62" s="83" t="n">
        <f aca="false">E62-C62</f>
        <v>-640060</v>
      </c>
      <c r="H62" s="84" t="n">
        <f aca="false">IF(C62=0,"",E62/C62-1)</f>
        <v>-1</v>
      </c>
      <c r="I62" s="88" t="s">
        <v>282</v>
      </c>
      <c r="J62" s="71"/>
    </row>
    <row r="63" customFormat="false" ht="13.5" hidden="false" customHeight="true" outlineLevel="0" collapsed="false">
      <c r="A63" s="79" t="s">
        <v>371</v>
      </c>
      <c r="B63" s="90" t="s">
        <v>372</v>
      </c>
      <c r="C63" s="81" t="n">
        <v>640060</v>
      </c>
      <c r="D63" s="82" t="n">
        <f aca="false">IFERROR(C63/$C$141,0)</f>
        <v>0.00842184210526316</v>
      </c>
      <c r="E63" s="40"/>
      <c r="F63" s="82" t="str">
        <f aca="false">IF(E63="","",IFERROR(E63/$E$141,0))</f>
        <v/>
      </c>
      <c r="G63" s="40"/>
      <c r="H63" s="40"/>
      <c r="I63" s="88" t="s">
        <v>282</v>
      </c>
      <c r="J63" s="71"/>
    </row>
    <row r="64" customFormat="false" ht="13.5" hidden="false" customHeight="true" outlineLevel="0" collapsed="false">
      <c r="A64" s="79" t="s">
        <v>373</v>
      </c>
      <c r="B64" s="90" t="s">
        <v>374</v>
      </c>
      <c r="C64" s="81" t="n">
        <v>0</v>
      </c>
      <c r="D64" s="82" t="n">
        <f aca="false">IFERROR(C64/$C$141,0)</f>
        <v>0</v>
      </c>
      <c r="E64" s="40"/>
      <c r="F64" s="82" t="str">
        <f aca="false">IF(E64="","",IFERROR(E64/$E$141,0))</f>
        <v/>
      </c>
      <c r="G64" s="40"/>
      <c r="H64" s="40"/>
      <c r="I64" s="88" t="s">
        <v>282</v>
      </c>
      <c r="J64" s="71"/>
    </row>
    <row r="65" customFormat="false" ht="13.5" hidden="false" customHeight="true" outlineLevel="0" collapsed="false">
      <c r="A65" s="79" t="s">
        <v>375</v>
      </c>
      <c r="B65" s="80" t="s">
        <v>376</v>
      </c>
      <c r="C65" s="89" t="n">
        <f aca="false">SUM(C66,C67)</f>
        <v>292250</v>
      </c>
      <c r="D65" s="82" t="n">
        <f aca="false">IFERROR(C65/$C$141,0)</f>
        <v>0.00384539473684211</v>
      </c>
      <c r="E65" s="89" t="n">
        <f aca="false">SUM(E66,E67)</f>
        <v>0</v>
      </c>
      <c r="F65" s="82" t="n">
        <f aca="false">IF(E65="","",IFERROR(E65/$E$141,0))</f>
        <v>0</v>
      </c>
      <c r="G65" s="83" t="n">
        <f aca="false">E65-C65</f>
        <v>-292250</v>
      </c>
      <c r="H65" s="84" t="n">
        <f aca="false">IF(C65=0,"",E65/C65-1)</f>
        <v>-1</v>
      </c>
      <c r="I65" s="88" t="s">
        <v>282</v>
      </c>
      <c r="J65" s="71"/>
    </row>
    <row r="66" customFormat="false" ht="13.5" hidden="false" customHeight="true" outlineLevel="0" collapsed="false">
      <c r="A66" s="79" t="s">
        <v>377</v>
      </c>
      <c r="B66" s="90" t="s">
        <v>378</v>
      </c>
      <c r="C66" s="81" t="n">
        <v>52000</v>
      </c>
      <c r="D66" s="82" t="n">
        <f aca="false">IFERROR(C66/$C$141,0)</f>
        <v>0.000684210526315789</v>
      </c>
      <c r="E66" s="40"/>
      <c r="F66" s="82" t="str">
        <f aca="false">IF(E66="","",IFERROR(E66/$E$141,0))</f>
        <v/>
      </c>
      <c r="G66" s="40"/>
      <c r="H66" s="40"/>
      <c r="I66" s="88" t="s">
        <v>282</v>
      </c>
      <c r="J66" s="71"/>
    </row>
    <row r="67" customFormat="false" ht="13.5" hidden="false" customHeight="true" outlineLevel="0" collapsed="false">
      <c r="A67" s="79" t="s">
        <v>379</v>
      </c>
      <c r="B67" s="90" t="s">
        <v>380</v>
      </c>
      <c r="C67" s="81" t="n">
        <v>240250</v>
      </c>
      <c r="D67" s="82" t="n">
        <f aca="false">IFERROR(C67/$C$141,0)</f>
        <v>0.00316118421052632</v>
      </c>
      <c r="E67" s="40"/>
      <c r="F67" s="82" t="str">
        <f aca="false">IF(E67="","",IFERROR(E67/$E$141,0))</f>
        <v/>
      </c>
      <c r="G67" s="40"/>
      <c r="H67" s="40"/>
      <c r="I67" s="88" t="s">
        <v>282</v>
      </c>
      <c r="J67" s="71"/>
    </row>
    <row r="68" customFormat="false" ht="13.5" hidden="false" customHeight="true" outlineLevel="0" collapsed="false">
      <c r="A68" s="79" t="s">
        <v>381</v>
      </c>
      <c r="B68" s="80" t="s">
        <v>382</v>
      </c>
      <c r="C68" s="89" t="n">
        <f aca="false">SUM(C69,C70,C71)</f>
        <v>355300</v>
      </c>
      <c r="D68" s="82" t="n">
        <f aca="false">IFERROR(C68/$C$141,0)</f>
        <v>0.004675</v>
      </c>
      <c r="E68" s="89" t="n">
        <f aca="false">SUM(E69,E70,E71)</f>
        <v>0</v>
      </c>
      <c r="F68" s="82" t="n">
        <f aca="false">IF(E68="","",IFERROR(E68/$E$141,0))</f>
        <v>0</v>
      </c>
      <c r="G68" s="83" t="n">
        <f aca="false">E68-C68</f>
        <v>-355300</v>
      </c>
      <c r="H68" s="84" t="n">
        <f aca="false">IF(C68=0,"",E68/C68-1)</f>
        <v>-1</v>
      </c>
      <c r="I68" s="88" t="s">
        <v>282</v>
      </c>
      <c r="J68" s="71"/>
    </row>
    <row r="69" customFormat="false" ht="13.5" hidden="false" customHeight="true" outlineLevel="0" collapsed="false">
      <c r="A69" s="79" t="s">
        <v>383</v>
      </c>
      <c r="B69" s="90" t="s">
        <v>384</v>
      </c>
      <c r="C69" s="81" t="n">
        <v>290300</v>
      </c>
      <c r="D69" s="82" t="n">
        <f aca="false">IFERROR(C69/$C$141,0)</f>
        <v>0.00381973684210526</v>
      </c>
      <c r="E69" s="40"/>
      <c r="F69" s="82" t="str">
        <f aca="false">IF(E69="","",IFERROR(E69/$E$141,0))</f>
        <v/>
      </c>
      <c r="G69" s="40"/>
      <c r="H69" s="40"/>
      <c r="I69" s="88" t="s">
        <v>282</v>
      </c>
      <c r="J69" s="71"/>
    </row>
    <row r="70" customFormat="false" ht="13.5" hidden="false" customHeight="true" outlineLevel="0" collapsed="false">
      <c r="A70" s="79" t="s">
        <v>385</v>
      </c>
      <c r="B70" s="90" t="s">
        <v>386</v>
      </c>
      <c r="C70" s="81" t="n">
        <v>65000</v>
      </c>
      <c r="D70" s="82" t="n">
        <f aca="false">IFERROR(C70/$C$141,0)</f>
        <v>0.000855263157894737</v>
      </c>
      <c r="E70" s="40"/>
      <c r="F70" s="82" t="str">
        <f aca="false">IF(E70="","",IFERROR(E70/$E$141,0))</f>
        <v/>
      </c>
      <c r="G70" s="40"/>
      <c r="H70" s="40"/>
      <c r="I70" s="88" t="s">
        <v>282</v>
      </c>
      <c r="J70" s="71"/>
    </row>
    <row r="71" customFormat="false" ht="13.5" hidden="false" customHeight="true" outlineLevel="0" collapsed="false">
      <c r="A71" s="79" t="s">
        <v>387</v>
      </c>
      <c r="B71" s="90" t="s">
        <v>388</v>
      </c>
      <c r="C71" s="81" t="n">
        <v>0</v>
      </c>
      <c r="D71" s="82" t="n">
        <f aca="false">IFERROR(C71/$C$141,0)</f>
        <v>0</v>
      </c>
      <c r="E71" s="40"/>
      <c r="F71" s="82" t="str">
        <f aca="false">IF(E71="","",IFERROR(E71/$E$141,0))</f>
        <v/>
      </c>
      <c r="G71" s="40"/>
      <c r="H71" s="40"/>
      <c r="I71" s="88" t="s">
        <v>282</v>
      </c>
      <c r="J71" s="71"/>
    </row>
    <row r="72" customFormat="false" ht="13.5" hidden="false" customHeight="true" outlineLevel="0" collapsed="false">
      <c r="A72" s="79" t="s">
        <v>389</v>
      </c>
      <c r="B72" s="80" t="s">
        <v>390</v>
      </c>
      <c r="C72" s="81" t="n">
        <v>181500</v>
      </c>
      <c r="D72" s="82" t="n">
        <f aca="false">IFERROR(C72/$C$141,0)</f>
        <v>0.00238815789473684</v>
      </c>
      <c r="E72" s="40"/>
      <c r="F72" s="82" t="str">
        <f aca="false">IF(E72="","",IFERROR(E72/$E$141,0))</f>
        <v/>
      </c>
      <c r="G72" s="40"/>
      <c r="H72" s="40"/>
      <c r="I72" s="88" t="s">
        <v>282</v>
      </c>
      <c r="J72" s="71"/>
    </row>
    <row r="73" customFormat="false" ht="13.5" hidden="false" customHeight="true" outlineLevel="0" collapsed="false">
      <c r="A73" s="79" t="s">
        <v>391</v>
      </c>
      <c r="B73" s="80" t="s">
        <v>392</v>
      </c>
      <c r="C73" s="81" t="n">
        <v>0</v>
      </c>
      <c r="D73" s="82" t="n">
        <f aca="false">IFERROR(C73/$C$141,0)</f>
        <v>0</v>
      </c>
      <c r="E73" s="40"/>
      <c r="F73" s="82" t="str">
        <f aca="false">IF(E73="","",IFERROR(E73/$E$141,0))</f>
        <v/>
      </c>
      <c r="G73" s="40"/>
      <c r="H73" s="40"/>
      <c r="I73" s="88" t="s">
        <v>282</v>
      </c>
      <c r="J73" s="71"/>
    </row>
    <row r="74" customFormat="false" ht="13.5" hidden="false" customHeight="true" outlineLevel="0" collapsed="false">
      <c r="A74" s="79" t="s">
        <v>393</v>
      </c>
      <c r="B74" s="80" t="s">
        <v>394</v>
      </c>
      <c r="C74" s="81" t="n">
        <v>300000</v>
      </c>
      <c r="D74" s="82" t="n">
        <f aca="false">IFERROR(C74/$C$141,0)</f>
        <v>0.00394736842105263</v>
      </c>
      <c r="E74" s="40"/>
      <c r="F74" s="82" t="str">
        <f aca="false">IF(E74="","",IFERROR(E74/$E$141,0))</f>
        <v/>
      </c>
      <c r="G74" s="40"/>
      <c r="H74" s="40"/>
      <c r="I74" s="88" t="s">
        <v>282</v>
      </c>
      <c r="J74" s="71"/>
    </row>
    <row r="75" customFormat="false" ht="13.5" hidden="false" customHeight="true" outlineLevel="0" collapsed="false">
      <c r="A75" s="79" t="s">
        <v>395</v>
      </c>
      <c r="B75" s="80" t="s">
        <v>396</v>
      </c>
      <c r="C75" s="81" t="n">
        <v>0</v>
      </c>
      <c r="D75" s="82" t="n">
        <f aca="false">IFERROR(C75/$C$141,0)</f>
        <v>0</v>
      </c>
      <c r="E75" s="40"/>
      <c r="F75" s="82" t="str">
        <f aca="false">IF(E75="","",IFERROR(E75/$E$141,0))</f>
        <v/>
      </c>
      <c r="G75" s="40"/>
      <c r="H75" s="40"/>
      <c r="I75" s="88" t="s">
        <v>282</v>
      </c>
      <c r="J75" s="71"/>
    </row>
    <row r="76" customFormat="false" ht="15.75" hidden="false" customHeight="true" outlineLevel="0" collapsed="false">
      <c r="A76" s="72" t="s">
        <v>397</v>
      </c>
      <c r="B76" s="73" t="s">
        <v>398</v>
      </c>
      <c r="C76" s="74" t="n">
        <f aca="false">SUM(C77,C82,C83,C84,C85,C86,C87,C88)</f>
        <v>1998620</v>
      </c>
      <c r="D76" s="75" t="n">
        <f aca="false">IFERROR(C76/$C$141,0)</f>
        <v>0.0262976315789474</v>
      </c>
      <c r="E76" s="74" t="n">
        <f aca="false">SUM(E77,E82,E83,E84,E85,E86,E87,E88)</f>
        <v>0</v>
      </c>
      <c r="F76" s="75" t="n">
        <f aca="false">IF(E76="","",IFERROR(E76/$E$141,0))</f>
        <v>0</v>
      </c>
      <c r="G76" s="76" t="n">
        <f aca="false">E76-C76</f>
        <v>-1998620</v>
      </c>
      <c r="H76" s="77" t="n">
        <f aca="false">IF(C76=0,"",E76/C76-1)</f>
        <v>-1</v>
      </c>
      <c r="I76" s="87" t="s">
        <v>282</v>
      </c>
      <c r="J76" s="71" t="s">
        <v>305</v>
      </c>
    </row>
    <row r="77" customFormat="false" ht="13.5" hidden="false" customHeight="true" outlineLevel="0" collapsed="false">
      <c r="A77" s="79" t="s">
        <v>399</v>
      </c>
      <c r="B77" s="80" t="s">
        <v>400</v>
      </c>
      <c r="C77" s="89" t="n">
        <f aca="false">SUM(C78,C79,C80,C81)</f>
        <v>1713000</v>
      </c>
      <c r="D77" s="82" t="n">
        <f aca="false">IFERROR(C77/$C$141,0)</f>
        <v>0.0225394736842105</v>
      </c>
      <c r="E77" s="89" t="n">
        <f aca="false">SUM(E78,E79,E80,E81)</f>
        <v>0</v>
      </c>
      <c r="F77" s="82" t="n">
        <f aca="false">IF(E77="","",IFERROR(E77/$E$141,0))</f>
        <v>0</v>
      </c>
      <c r="G77" s="83" t="n">
        <f aca="false">E77-C77</f>
        <v>-1713000</v>
      </c>
      <c r="H77" s="84" t="n">
        <f aca="false">IF(C77=0,"",E77/C77-1)</f>
        <v>-1</v>
      </c>
      <c r="I77" s="88" t="s">
        <v>282</v>
      </c>
      <c r="J77" s="71"/>
    </row>
    <row r="78" customFormat="false" ht="13.5" hidden="false" customHeight="true" outlineLevel="0" collapsed="false">
      <c r="A78" s="79" t="s">
        <v>401</v>
      </c>
      <c r="B78" s="90" t="s">
        <v>402</v>
      </c>
      <c r="C78" s="81" t="n">
        <v>502000</v>
      </c>
      <c r="D78" s="82" t="n">
        <f aca="false">IFERROR(C78/$C$141,0)</f>
        <v>0.00660526315789474</v>
      </c>
      <c r="E78" s="40"/>
      <c r="F78" s="82" t="str">
        <f aca="false">IF(E78="","",IFERROR(E78/$E$141,0))</f>
        <v/>
      </c>
      <c r="G78" s="40"/>
      <c r="H78" s="40"/>
      <c r="I78" s="88" t="s">
        <v>282</v>
      </c>
      <c r="J78" s="71"/>
    </row>
    <row r="79" customFormat="false" ht="13.5" hidden="false" customHeight="true" outlineLevel="0" collapsed="false">
      <c r="A79" s="79" t="s">
        <v>403</v>
      </c>
      <c r="B79" s="90" t="s">
        <v>404</v>
      </c>
      <c r="C79" s="81" t="n">
        <v>254000</v>
      </c>
      <c r="D79" s="82" t="n">
        <f aca="false">IFERROR(C79/$C$141,0)</f>
        <v>0.0033421052631579</v>
      </c>
      <c r="E79" s="40"/>
      <c r="F79" s="82" t="str">
        <f aca="false">IF(E79="","",IFERROR(E79/$E$141,0))</f>
        <v/>
      </c>
      <c r="G79" s="40"/>
      <c r="H79" s="40"/>
      <c r="I79" s="88" t="s">
        <v>282</v>
      </c>
      <c r="J79" s="71"/>
    </row>
    <row r="80" customFormat="false" ht="13.5" hidden="false" customHeight="true" outlineLevel="0" collapsed="false">
      <c r="A80" s="79" t="s">
        <v>405</v>
      </c>
      <c r="B80" s="90" t="s">
        <v>406</v>
      </c>
      <c r="C80" s="81" t="n">
        <v>793000</v>
      </c>
      <c r="D80" s="82" t="n">
        <f aca="false">IFERROR(C80/$C$141,0)</f>
        <v>0.0104342105263158</v>
      </c>
      <c r="E80" s="40"/>
      <c r="F80" s="82" t="str">
        <f aca="false">IF(E80="","",IFERROR(E80/$E$141,0))</f>
        <v/>
      </c>
      <c r="G80" s="40"/>
      <c r="H80" s="40"/>
      <c r="I80" s="88" t="s">
        <v>282</v>
      </c>
      <c r="J80" s="71"/>
    </row>
    <row r="81" customFormat="false" ht="13.5" hidden="false" customHeight="true" outlineLevel="0" collapsed="false">
      <c r="A81" s="79" t="s">
        <v>407</v>
      </c>
      <c r="B81" s="90" t="s">
        <v>408</v>
      </c>
      <c r="C81" s="81" t="n">
        <v>164000</v>
      </c>
      <c r="D81" s="82" t="n">
        <f aca="false">IFERROR(C81/$C$141,0)</f>
        <v>0.00215789473684211</v>
      </c>
      <c r="E81" s="40"/>
      <c r="F81" s="82" t="str">
        <f aca="false">IF(E81="","",IFERROR(E81/$E$141,0))</f>
        <v/>
      </c>
      <c r="G81" s="40"/>
      <c r="H81" s="40"/>
      <c r="I81" s="88" t="s">
        <v>282</v>
      </c>
      <c r="J81" s="71"/>
    </row>
    <row r="82" customFormat="false" ht="13.5" hidden="false" customHeight="true" outlineLevel="0" collapsed="false">
      <c r="A82" s="79" t="s">
        <v>409</v>
      </c>
      <c r="B82" s="80" t="s">
        <v>410</v>
      </c>
      <c r="C82" s="81" t="n">
        <v>0</v>
      </c>
      <c r="D82" s="82" t="n">
        <f aca="false">IFERROR(C82/$C$141,0)</f>
        <v>0</v>
      </c>
      <c r="E82" s="40"/>
      <c r="F82" s="82" t="str">
        <f aca="false">IF(E82="","",IFERROR(E82/$E$141,0))</f>
        <v/>
      </c>
      <c r="G82" s="40"/>
      <c r="H82" s="40"/>
      <c r="I82" s="88" t="s">
        <v>282</v>
      </c>
      <c r="J82" s="71"/>
    </row>
    <row r="83" customFormat="false" ht="13.5" hidden="false" customHeight="true" outlineLevel="0" collapsed="false">
      <c r="A83" s="79" t="s">
        <v>411</v>
      </c>
      <c r="B83" s="80" t="s">
        <v>412</v>
      </c>
      <c r="C83" s="81" t="n">
        <v>0</v>
      </c>
      <c r="D83" s="82" t="n">
        <f aca="false">IFERROR(C83/$C$141,0)</f>
        <v>0</v>
      </c>
      <c r="E83" s="40"/>
      <c r="F83" s="82" t="str">
        <f aca="false">IF(E83="","",IFERROR(E83/$E$141,0))</f>
        <v/>
      </c>
      <c r="G83" s="40"/>
      <c r="H83" s="40"/>
      <c r="I83" s="88" t="s">
        <v>282</v>
      </c>
      <c r="J83" s="71"/>
    </row>
    <row r="84" customFormat="false" ht="13.5" hidden="false" customHeight="true" outlineLevel="0" collapsed="false">
      <c r="A84" s="79" t="s">
        <v>413</v>
      </c>
      <c r="B84" s="80" t="s">
        <v>414</v>
      </c>
      <c r="C84" s="81" t="n">
        <v>185460</v>
      </c>
      <c r="D84" s="82" t="n">
        <f aca="false">IFERROR(C84/$C$141,0)</f>
        <v>0.00244026315789474</v>
      </c>
      <c r="E84" s="40"/>
      <c r="F84" s="82" t="str">
        <f aca="false">IF(E84="","",IFERROR(E84/$E$141,0))</f>
        <v/>
      </c>
      <c r="G84" s="40"/>
      <c r="H84" s="40"/>
      <c r="I84" s="88" t="s">
        <v>282</v>
      </c>
      <c r="J84" s="71"/>
    </row>
    <row r="85" customFormat="false" ht="13.5" hidden="false" customHeight="true" outlineLevel="0" collapsed="false">
      <c r="A85" s="79" t="s">
        <v>415</v>
      </c>
      <c r="B85" s="80" t="s">
        <v>416</v>
      </c>
      <c r="C85" s="81" t="n">
        <v>0</v>
      </c>
      <c r="D85" s="82" t="n">
        <f aca="false">IFERROR(C85/$C$141,0)</f>
        <v>0</v>
      </c>
      <c r="E85" s="40"/>
      <c r="F85" s="82" t="str">
        <f aca="false">IF(E85="","",IFERROR(E85/$E$141,0))</f>
        <v/>
      </c>
      <c r="G85" s="40"/>
      <c r="H85" s="40"/>
      <c r="I85" s="88" t="s">
        <v>282</v>
      </c>
      <c r="J85" s="71"/>
    </row>
    <row r="86" customFormat="false" ht="13.5" hidden="false" customHeight="true" outlineLevel="0" collapsed="false">
      <c r="A86" s="79" t="s">
        <v>417</v>
      </c>
      <c r="B86" s="80" t="s">
        <v>418</v>
      </c>
      <c r="C86" s="81" t="n">
        <v>100160</v>
      </c>
      <c r="D86" s="82" t="n">
        <f aca="false">IFERROR(C86/$C$141,0)</f>
        <v>0.00131789473684211</v>
      </c>
      <c r="E86" s="40"/>
      <c r="F86" s="82" t="str">
        <f aca="false">IF(E86="","",IFERROR(E86/$E$141,0))</f>
        <v/>
      </c>
      <c r="G86" s="40"/>
      <c r="H86" s="40"/>
      <c r="I86" s="88" t="s">
        <v>282</v>
      </c>
      <c r="J86" s="71"/>
    </row>
    <row r="87" customFormat="false" ht="13.5" hidden="false" customHeight="true" outlineLevel="0" collapsed="false">
      <c r="A87" s="79" t="s">
        <v>419</v>
      </c>
      <c r="B87" s="80" t="s">
        <v>420</v>
      </c>
      <c r="C87" s="81" t="n">
        <v>0</v>
      </c>
      <c r="D87" s="82" t="n">
        <f aca="false">IFERROR(C87/$C$141,0)</f>
        <v>0</v>
      </c>
      <c r="E87" s="40"/>
      <c r="F87" s="82" t="str">
        <f aca="false">IF(E87="","",IFERROR(E87/$E$141,0))</f>
        <v/>
      </c>
      <c r="G87" s="40"/>
      <c r="H87" s="40"/>
      <c r="I87" s="88" t="s">
        <v>282</v>
      </c>
      <c r="J87" s="71"/>
    </row>
    <row r="88" customFormat="false" ht="13.5" hidden="false" customHeight="true" outlineLevel="0" collapsed="false">
      <c r="A88" s="79" t="s">
        <v>421</v>
      </c>
      <c r="B88" s="80" t="s">
        <v>422</v>
      </c>
      <c r="C88" s="81" t="n">
        <v>0</v>
      </c>
      <c r="D88" s="82" t="n">
        <f aca="false">IFERROR(C88/$C$141,0)</f>
        <v>0</v>
      </c>
      <c r="E88" s="40"/>
      <c r="F88" s="82" t="str">
        <f aca="false">IF(E88="","",IFERROR(E88/$E$141,0))</f>
        <v/>
      </c>
      <c r="G88" s="40"/>
      <c r="H88" s="40"/>
      <c r="I88" s="88" t="s">
        <v>282</v>
      </c>
      <c r="J88" s="71"/>
    </row>
    <row r="89" customFormat="false" ht="15.75" hidden="false" customHeight="true" outlineLevel="0" collapsed="false">
      <c r="A89" s="72" t="s">
        <v>423</v>
      </c>
      <c r="B89" s="73" t="s">
        <v>424</v>
      </c>
      <c r="C89" s="74" t="n">
        <f aca="false">SUM(C90,C91,C92,C93,C94,C95,C96,C97,C98,C99)</f>
        <v>7577290</v>
      </c>
      <c r="D89" s="75" t="n">
        <f aca="false">IFERROR(C89/$C$141,0)</f>
        <v>0.0997011842105263</v>
      </c>
      <c r="E89" s="74" t="n">
        <f aca="false">SUM(E90,E91,E92,E93,E94,E95,E96,E97,E98,E99)</f>
        <v>5884790</v>
      </c>
      <c r="F89" s="75" t="n">
        <f aca="false">IF(E89="","",IFERROR(E89/$E$141,0))</f>
        <v>0.078114134065628</v>
      </c>
      <c r="G89" s="76" t="n">
        <f aca="false">E89-C89</f>
        <v>-1692500</v>
      </c>
      <c r="H89" s="77" t="n">
        <f aca="false">IF(C89=0,"",E89/C89-1)</f>
        <v>-0.223364817764663</v>
      </c>
      <c r="I89" s="91" t="s">
        <v>425</v>
      </c>
      <c r="J89" s="71" t="s">
        <v>426</v>
      </c>
    </row>
    <row r="90" customFormat="false" ht="13.5" hidden="false" customHeight="true" outlineLevel="0" collapsed="false">
      <c r="A90" s="79" t="s">
        <v>427</v>
      </c>
      <c r="B90" s="80" t="s">
        <v>428</v>
      </c>
      <c r="C90" s="81" t="n">
        <v>1200000</v>
      </c>
      <c r="D90" s="82" t="n">
        <f aca="false">IFERROR(C90/$C$141,0)</f>
        <v>0.0157894736842105</v>
      </c>
      <c r="E90" s="81" t="n">
        <v>1160000</v>
      </c>
      <c r="F90" s="82" t="n">
        <f aca="false">IF(E90="","",IFERROR(E90/$E$141,0))</f>
        <v>0.0153977279590484</v>
      </c>
      <c r="G90" s="83" t="n">
        <f aca="false">E90-C90</f>
        <v>-40000</v>
      </c>
      <c r="H90" s="84" t="n">
        <f aca="false">IF(C90=0,"",E90/C90-1)</f>
        <v>-0.0333333333333333</v>
      </c>
      <c r="I90" s="92" t="s">
        <v>425</v>
      </c>
      <c r="J90" s="71"/>
    </row>
    <row r="91" customFormat="false" ht="13.5" hidden="false" customHeight="true" outlineLevel="0" collapsed="false">
      <c r="A91" s="79" t="s">
        <v>429</v>
      </c>
      <c r="B91" s="80" t="s">
        <v>430</v>
      </c>
      <c r="C91" s="81" t="n">
        <v>2900000</v>
      </c>
      <c r="D91" s="82" t="n">
        <f aca="false">IFERROR(C91/$C$141,0)</f>
        <v>0.0381578947368421</v>
      </c>
      <c r="E91" s="81" t="n">
        <v>2900000</v>
      </c>
      <c r="F91" s="82" t="n">
        <f aca="false">IF(E91="","",IFERROR(E91/$E$141,0))</f>
        <v>0.038494319897621</v>
      </c>
      <c r="G91" s="83" t="n">
        <f aca="false">E91-C91</f>
        <v>0</v>
      </c>
      <c r="H91" s="84" t="n">
        <f aca="false">IF(C91=0,"",E91/C91-1)</f>
        <v>0</v>
      </c>
      <c r="I91" s="85" t="s">
        <v>248</v>
      </c>
      <c r="J91" s="71" t="s">
        <v>431</v>
      </c>
    </row>
    <row r="92" customFormat="false" ht="13.5" hidden="false" customHeight="true" outlineLevel="0" collapsed="false">
      <c r="A92" s="79" t="s">
        <v>432</v>
      </c>
      <c r="B92" s="80" t="s">
        <v>433</v>
      </c>
      <c r="C92" s="81" t="n">
        <v>1800000</v>
      </c>
      <c r="D92" s="82" t="n">
        <f aca="false">IFERROR(C92/$C$141,0)</f>
        <v>0.0236842105263158</v>
      </c>
      <c r="E92" s="81" t="n">
        <v>860000</v>
      </c>
      <c r="F92" s="82" t="n">
        <f aca="false">IF(E92="","",IFERROR(E92/$E$141,0))</f>
        <v>0.0114155569351566</v>
      </c>
      <c r="G92" s="83" t="n">
        <f aca="false">E92-C92</f>
        <v>-940000</v>
      </c>
      <c r="H92" s="84" t="n">
        <f aca="false">IF(C92=0,"",E92/C92-1)</f>
        <v>-0.522222222222222</v>
      </c>
      <c r="I92" s="92" t="s">
        <v>425</v>
      </c>
      <c r="J92" s="71" t="s">
        <v>434</v>
      </c>
    </row>
    <row r="93" customFormat="false" ht="13.5" hidden="false" customHeight="true" outlineLevel="0" collapsed="false">
      <c r="A93" s="79" t="s">
        <v>435</v>
      </c>
      <c r="B93" s="80" t="s">
        <v>436</v>
      </c>
      <c r="C93" s="81" t="n">
        <v>590000</v>
      </c>
      <c r="D93" s="82" t="n">
        <f aca="false">IFERROR(C93/$C$141,0)</f>
        <v>0.00776315789473684</v>
      </c>
      <c r="E93" s="81" t="n">
        <v>295000</v>
      </c>
      <c r="F93" s="82" t="n">
        <f aca="false">IF(E93="","",IFERROR(E93/$E$141,0))</f>
        <v>0.00391580150682697</v>
      </c>
      <c r="G93" s="83" t="n">
        <f aca="false">E93-C93</f>
        <v>-295000</v>
      </c>
      <c r="H93" s="84" t="n">
        <f aca="false">IF(C93=0,"",E93/C93-1)</f>
        <v>-0.5</v>
      </c>
      <c r="I93" s="92" t="s">
        <v>425</v>
      </c>
      <c r="J93" s="71" t="s">
        <v>437</v>
      </c>
    </row>
    <row r="94" customFormat="false" ht="13.5" hidden="false" customHeight="true" outlineLevel="0" collapsed="false">
      <c r="A94" s="79" t="s">
        <v>438</v>
      </c>
      <c r="B94" s="80" t="s">
        <v>439</v>
      </c>
      <c r="C94" s="81" t="n">
        <v>210000</v>
      </c>
      <c r="D94" s="82" t="n">
        <f aca="false">IFERROR(C94/$C$141,0)</f>
        <v>0.00276315789473684</v>
      </c>
      <c r="E94" s="81" t="n">
        <v>105000</v>
      </c>
      <c r="F94" s="82" t="n">
        <f aca="false">IF(E94="","",IFERROR(E94/$E$141,0))</f>
        <v>0.00139375985836214</v>
      </c>
      <c r="G94" s="83" t="n">
        <f aca="false">E94-C94</f>
        <v>-105000</v>
      </c>
      <c r="H94" s="84" t="n">
        <f aca="false">IF(C94=0,"",E94/C94-1)</f>
        <v>-0.5</v>
      </c>
      <c r="I94" s="92" t="s">
        <v>425</v>
      </c>
      <c r="J94" s="71" t="s">
        <v>440</v>
      </c>
    </row>
    <row r="95" customFormat="false" ht="13.5" hidden="false" customHeight="true" outlineLevel="0" collapsed="false">
      <c r="A95" s="79" t="s">
        <v>441</v>
      </c>
      <c r="B95" s="80" t="s">
        <v>442</v>
      </c>
      <c r="C95" s="81" t="n">
        <v>625000</v>
      </c>
      <c r="D95" s="82" t="n">
        <f aca="false">IFERROR(C95/$C$141,0)</f>
        <v>0.00822368421052632</v>
      </c>
      <c r="E95" s="81" t="n">
        <v>312500</v>
      </c>
      <c r="F95" s="82" t="n">
        <f aca="false">IF(E95="","",IFERROR(E95/$E$141,0))</f>
        <v>0.00414809481655399</v>
      </c>
      <c r="G95" s="83" t="n">
        <f aca="false">E95-C95</f>
        <v>-312500</v>
      </c>
      <c r="H95" s="84" t="n">
        <f aca="false">IF(C95=0,"",E95/C95-1)</f>
        <v>-0.5</v>
      </c>
      <c r="I95" s="92" t="s">
        <v>425</v>
      </c>
      <c r="J95" s="71" t="s">
        <v>440</v>
      </c>
    </row>
    <row r="96" customFormat="false" ht="13.5" hidden="false" customHeight="true" outlineLevel="0" collapsed="false">
      <c r="A96" s="79" t="s">
        <v>443</v>
      </c>
      <c r="B96" s="80" t="s">
        <v>444</v>
      </c>
      <c r="C96" s="81" t="n">
        <v>20000</v>
      </c>
      <c r="D96" s="82" t="n">
        <f aca="false">IFERROR(C96/$C$141,0)</f>
        <v>0.000263157894736842</v>
      </c>
      <c r="E96" s="81" t="n">
        <v>20000</v>
      </c>
      <c r="F96" s="82" t="n">
        <f aca="false">IF(E96="","",IFERROR(E96/$E$141,0))</f>
        <v>0.000265478068259455</v>
      </c>
      <c r="G96" s="83" t="n">
        <f aca="false">E96-C96</f>
        <v>0</v>
      </c>
      <c r="H96" s="84" t="n">
        <f aca="false">IF(C96=0,"",E96/C96-1)</f>
        <v>0</v>
      </c>
      <c r="I96" s="85" t="s">
        <v>248</v>
      </c>
      <c r="J96" s="71"/>
    </row>
    <row r="97" customFormat="false" ht="13.5" hidden="false" customHeight="true" outlineLevel="0" collapsed="false">
      <c r="A97" s="79" t="s">
        <v>445</v>
      </c>
      <c r="B97" s="80" t="s">
        <v>446</v>
      </c>
      <c r="C97" s="81" t="n">
        <v>20000</v>
      </c>
      <c r="D97" s="82" t="n">
        <f aca="false">IFERROR(C97/$C$141,0)</f>
        <v>0.000263157894736842</v>
      </c>
      <c r="E97" s="81" t="n">
        <v>20000</v>
      </c>
      <c r="F97" s="82" t="n">
        <f aca="false">IF(E97="","",IFERROR(E97/$E$141,0))</f>
        <v>0.000265478068259455</v>
      </c>
      <c r="G97" s="83" t="n">
        <f aca="false">E97-C97</f>
        <v>0</v>
      </c>
      <c r="H97" s="84" t="n">
        <f aca="false">IF(C97=0,"",E97/C97-1)</f>
        <v>0</v>
      </c>
      <c r="I97" s="85" t="s">
        <v>248</v>
      </c>
      <c r="J97" s="71"/>
    </row>
    <row r="98" customFormat="false" ht="13.5" hidden="false" customHeight="true" outlineLevel="0" collapsed="false">
      <c r="A98" s="79" t="s">
        <v>447</v>
      </c>
      <c r="B98" s="80" t="s">
        <v>448</v>
      </c>
      <c r="C98" s="81" t="n">
        <v>20000</v>
      </c>
      <c r="D98" s="82" t="n">
        <f aca="false">IFERROR(C98/$C$141,0)</f>
        <v>0.000263157894736842</v>
      </c>
      <c r="E98" s="81" t="n">
        <v>20000</v>
      </c>
      <c r="F98" s="82" t="n">
        <f aca="false">IF(E98="","",IFERROR(E98/$E$141,0))</f>
        <v>0.000265478068259455</v>
      </c>
      <c r="G98" s="83" t="n">
        <f aca="false">E98-C98</f>
        <v>0</v>
      </c>
      <c r="H98" s="84" t="n">
        <f aca="false">IF(C98=0,"",E98/C98-1)</f>
        <v>0</v>
      </c>
      <c r="I98" s="85" t="s">
        <v>248</v>
      </c>
      <c r="J98" s="71"/>
    </row>
    <row r="99" customFormat="false" ht="13.5" hidden="false" customHeight="true" outlineLevel="0" collapsed="false">
      <c r="A99" s="79" t="s">
        <v>449</v>
      </c>
      <c r="B99" s="80" t="s">
        <v>450</v>
      </c>
      <c r="C99" s="81" t="n">
        <v>192290</v>
      </c>
      <c r="D99" s="82" t="n">
        <f aca="false">IFERROR(C99/$C$141,0)</f>
        <v>0.00253013157894737</v>
      </c>
      <c r="E99" s="81" t="n">
        <v>192290</v>
      </c>
      <c r="F99" s="82" t="n">
        <f aca="false">IF(E99="","",IFERROR(E99/$E$141,0))</f>
        <v>0.00255243888728053</v>
      </c>
      <c r="G99" s="83" t="n">
        <f aca="false">E99-C99</f>
        <v>0</v>
      </c>
      <c r="H99" s="84" t="n">
        <f aca="false">IF(C99=0,"",E99/C99-1)</f>
        <v>0</v>
      </c>
      <c r="I99" s="85" t="s">
        <v>248</v>
      </c>
      <c r="J99" s="71"/>
    </row>
    <row r="100" customFormat="false" ht="15.75" hidden="false" customHeight="true" outlineLevel="0" collapsed="false">
      <c r="A100" s="64" t="s">
        <v>451</v>
      </c>
      <c r="B100" s="65" t="s">
        <v>452</v>
      </c>
      <c r="C100" s="66" t="n">
        <f aca="false">SUM(C101,C103,C106)</f>
        <v>700000</v>
      </c>
      <c r="D100" s="67" t="n">
        <f aca="false">IFERROR(C100/$C$141,0)</f>
        <v>0.00921052631578947</v>
      </c>
      <c r="E100" s="66" t="n">
        <f aca="false">SUM(E101,E103,E106)</f>
        <v>700000</v>
      </c>
      <c r="F100" s="67" t="n">
        <f aca="false">IF(E100="","",IFERROR(E100/$E$141,0))</f>
        <v>0.00929173238908094</v>
      </c>
      <c r="G100" s="68" t="n">
        <f aca="false">E100-C100</f>
        <v>0</v>
      </c>
      <c r="H100" s="69" t="n">
        <f aca="false">IF(C100=0,"",E100/C100-1)</f>
        <v>0</v>
      </c>
      <c r="I100" s="70" t="s">
        <v>248</v>
      </c>
      <c r="J100" s="71" t="s">
        <v>453</v>
      </c>
    </row>
    <row r="101" customFormat="false" ht="15.75" hidden="false" customHeight="true" outlineLevel="0" collapsed="false">
      <c r="A101" s="72" t="s">
        <v>454</v>
      </c>
      <c r="B101" s="73" t="s">
        <v>455</v>
      </c>
      <c r="C101" s="74" t="n">
        <f aca="false">SUM(C102)</f>
        <v>0</v>
      </c>
      <c r="D101" s="75" t="n">
        <f aca="false">IFERROR(C101/$C$141,0)</f>
        <v>0</v>
      </c>
      <c r="E101" s="74" t="n">
        <f aca="false">SUM(E102)</f>
        <v>0</v>
      </c>
      <c r="F101" s="75" t="n">
        <f aca="false">IF(E101="","",IFERROR(E101/$E$141,0))</f>
        <v>0</v>
      </c>
      <c r="G101" s="76" t="n">
        <f aca="false">E101-C101</f>
        <v>0</v>
      </c>
      <c r="H101" s="77" t="str">
        <f aca="false">IF(C101=0,"",E101/C101-1)</f>
        <v/>
      </c>
      <c r="I101" s="78" t="s">
        <v>248</v>
      </c>
      <c r="J101" s="71"/>
    </row>
    <row r="102" customFormat="false" ht="13.5" hidden="false" customHeight="true" outlineLevel="0" collapsed="false">
      <c r="A102" s="79" t="s">
        <v>456</v>
      </c>
      <c r="B102" s="80" t="s">
        <v>457</v>
      </c>
      <c r="C102" s="81" t="n">
        <v>0</v>
      </c>
      <c r="D102" s="82" t="n">
        <f aca="false">IFERROR(C102/$C$141,0)</f>
        <v>0</v>
      </c>
      <c r="E102" s="81" t="n">
        <v>0</v>
      </c>
      <c r="F102" s="82" t="n">
        <f aca="false">IF(E102="","",IFERROR(E102/$E$141,0))</f>
        <v>0</v>
      </c>
      <c r="G102" s="83" t="n">
        <f aca="false">E102-C102</f>
        <v>0</v>
      </c>
      <c r="H102" s="84" t="str">
        <f aca="false">IF(C102=0,"",E102/C102-1)</f>
        <v/>
      </c>
      <c r="I102" s="85" t="s">
        <v>248</v>
      </c>
      <c r="J102" s="71"/>
    </row>
    <row r="103" customFormat="false" ht="15.75" hidden="false" customHeight="true" outlineLevel="0" collapsed="false">
      <c r="A103" s="72" t="s">
        <v>458</v>
      </c>
      <c r="B103" s="73" t="s">
        <v>459</v>
      </c>
      <c r="C103" s="74" t="n">
        <f aca="false">SUM(C104,C105)</f>
        <v>100000</v>
      </c>
      <c r="D103" s="75" t="n">
        <f aca="false">IFERROR(C103/$C$141,0)</f>
        <v>0.00131578947368421</v>
      </c>
      <c r="E103" s="74" t="n">
        <f aca="false">SUM(E104,E105)</f>
        <v>100000</v>
      </c>
      <c r="F103" s="75" t="n">
        <f aca="false">IF(E103="","",IFERROR(E103/$E$141,0))</f>
        <v>0.00132739034129728</v>
      </c>
      <c r="G103" s="76" t="n">
        <f aca="false">E103-C103</f>
        <v>0</v>
      </c>
      <c r="H103" s="77" t="n">
        <f aca="false">IF(C103=0,"",E103/C103-1)</f>
        <v>0</v>
      </c>
      <c r="I103" s="78" t="s">
        <v>248</v>
      </c>
      <c r="J103" s="71"/>
    </row>
    <row r="104" customFormat="false" ht="13.5" hidden="false" customHeight="true" outlineLevel="0" collapsed="false">
      <c r="A104" s="79" t="s">
        <v>460</v>
      </c>
      <c r="B104" s="80" t="s">
        <v>461</v>
      </c>
      <c r="C104" s="81" t="n">
        <v>0</v>
      </c>
      <c r="D104" s="82" t="n">
        <f aca="false">IFERROR(C104/$C$141,0)</f>
        <v>0</v>
      </c>
      <c r="E104" s="81" t="n">
        <v>0</v>
      </c>
      <c r="F104" s="82" t="n">
        <f aca="false">IF(E104="","",IFERROR(E104/$E$141,0))</f>
        <v>0</v>
      </c>
      <c r="G104" s="83" t="n">
        <f aca="false">E104-C104</f>
        <v>0</v>
      </c>
      <c r="H104" s="84" t="str">
        <f aca="false">IF(C104=0,"",E104/C104-1)</f>
        <v/>
      </c>
      <c r="I104" s="85" t="s">
        <v>248</v>
      </c>
      <c r="J104" s="71"/>
    </row>
    <row r="105" customFormat="false" ht="13.5" hidden="false" customHeight="true" outlineLevel="0" collapsed="false">
      <c r="A105" s="79" t="s">
        <v>462</v>
      </c>
      <c r="B105" s="80" t="s">
        <v>463</v>
      </c>
      <c r="C105" s="81" t="n">
        <v>100000</v>
      </c>
      <c r="D105" s="82" t="n">
        <f aca="false">IFERROR(C105/$C$141,0)</f>
        <v>0.00131578947368421</v>
      </c>
      <c r="E105" s="81" t="n">
        <v>100000</v>
      </c>
      <c r="F105" s="82" t="n">
        <f aca="false">IF(E105="","",IFERROR(E105/$E$141,0))</f>
        <v>0.00132739034129728</v>
      </c>
      <c r="G105" s="83" t="n">
        <f aca="false">E105-C105</f>
        <v>0</v>
      </c>
      <c r="H105" s="84" t="n">
        <f aca="false">IF(C105=0,"",E105/C105-1)</f>
        <v>0</v>
      </c>
      <c r="I105" s="85" t="s">
        <v>248</v>
      </c>
      <c r="J105" s="71"/>
    </row>
    <row r="106" customFormat="false" ht="15.75" hidden="false" customHeight="true" outlineLevel="0" collapsed="false">
      <c r="A106" s="72" t="s">
        <v>464</v>
      </c>
      <c r="B106" s="73" t="s">
        <v>465</v>
      </c>
      <c r="C106" s="86" t="n">
        <v>600000</v>
      </c>
      <c r="D106" s="75" t="n">
        <f aca="false">IFERROR(C106/$C$141,0)</f>
        <v>0.00789473684210526</v>
      </c>
      <c r="E106" s="86" t="n">
        <v>600000</v>
      </c>
      <c r="F106" s="75" t="n">
        <f aca="false">IF(E106="","",IFERROR(E106/$E$141,0))</f>
        <v>0.00796434204778366</v>
      </c>
      <c r="G106" s="76" t="n">
        <f aca="false">E106-C106</f>
        <v>0</v>
      </c>
      <c r="H106" s="77" t="n">
        <f aca="false">IF(C106=0,"",E106/C106-1)</f>
        <v>0</v>
      </c>
      <c r="I106" s="78" t="s">
        <v>248</v>
      </c>
      <c r="J106" s="71"/>
    </row>
    <row r="107" customFormat="false" ht="15.75" hidden="false" customHeight="true" outlineLevel="0" collapsed="false">
      <c r="A107" s="64" t="s">
        <v>466</v>
      </c>
      <c r="B107" s="65" t="s">
        <v>467</v>
      </c>
      <c r="C107" s="66" t="n">
        <f aca="false">SUM(C108,C116,C122,C126,C131)</f>
        <v>3540000</v>
      </c>
      <c r="D107" s="67" t="n">
        <f aca="false">IFERROR(C107/$C$141,0)</f>
        <v>0.0465789473684211</v>
      </c>
      <c r="E107" s="66" t="n">
        <f aca="false">SUM(E108,E116,E122,E126,E131)</f>
        <v>3540000</v>
      </c>
      <c r="F107" s="67" t="n">
        <f aca="false">IF(E107="","",IFERROR(E107/$E$141,0))</f>
        <v>0.0469896180819236</v>
      </c>
      <c r="G107" s="68" t="n">
        <f aca="false">E107-C107</f>
        <v>0</v>
      </c>
      <c r="H107" s="69" t="n">
        <f aca="false">IF(C107=0,"",E107/C107-1)</f>
        <v>0</v>
      </c>
      <c r="I107" s="70" t="s">
        <v>248</v>
      </c>
      <c r="J107" s="71" t="s">
        <v>468</v>
      </c>
    </row>
    <row r="108" customFormat="false" ht="15.75" hidden="false" customHeight="true" outlineLevel="0" collapsed="false">
      <c r="A108" s="72" t="s">
        <v>469</v>
      </c>
      <c r="B108" s="73" t="s">
        <v>470</v>
      </c>
      <c r="C108" s="74" t="n">
        <f aca="false">SUM(C109,C110,C111,C115)</f>
        <v>2445000</v>
      </c>
      <c r="D108" s="75" t="n">
        <f aca="false">IFERROR(C108/$C$141,0)</f>
        <v>0.032171052631579</v>
      </c>
      <c r="E108" s="74" t="n">
        <f aca="false">SUM(E109,E110,E111,E115)</f>
        <v>2445000</v>
      </c>
      <c r="F108" s="75" t="n">
        <f aca="false">IF(E108="","",IFERROR(E108/$E$141,0))</f>
        <v>0.0324546938447184</v>
      </c>
      <c r="G108" s="76" t="n">
        <f aca="false">E108-C108</f>
        <v>0</v>
      </c>
      <c r="H108" s="77" t="n">
        <f aca="false">IF(C108=0,"",E108/C108-1)</f>
        <v>0</v>
      </c>
      <c r="I108" s="78" t="s">
        <v>248</v>
      </c>
      <c r="J108" s="71"/>
    </row>
    <row r="109" customFormat="false" ht="13.5" hidden="false" customHeight="true" outlineLevel="0" collapsed="false">
      <c r="A109" s="79" t="s">
        <v>471</v>
      </c>
      <c r="B109" s="80" t="s">
        <v>472</v>
      </c>
      <c r="C109" s="81" t="n">
        <v>1895000</v>
      </c>
      <c r="D109" s="82" t="n">
        <f aca="false">IFERROR(C109/$C$141,0)</f>
        <v>0.0249342105263158</v>
      </c>
      <c r="E109" s="81" t="n">
        <v>1895000</v>
      </c>
      <c r="F109" s="82" t="n">
        <f aca="false">IF(E109="","",IFERROR(E109/$E$141,0))</f>
        <v>0.0251540469675834</v>
      </c>
      <c r="G109" s="83" t="n">
        <f aca="false">E109-C109</f>
        <v>0</v>
      </c>
      <c r="H109" s="84" t="n">
        <f aca="false">IF(C109=0,"",E109/C109-1)</f>
        <v>0</v>
      </c>
      <c r="I109" s="85" t="s">
        <v>248</v>
      </c>
      <c r="J109" s="71" t="s">
        <v>473</v>
      </c>
    </row>
    <row r="110" customFormat="false" ht="13.5" hidden="false" customHeight="true" outlineLevel="0" collapsed="false">
      <c r="A110" s="79" t="s">
        <v>474</v>
      </c>
      <c r="B110" s="80" t="s">
        <v>475</v>
      </c>
      <c r="C110" s="81" t="n">
        <v>150000</v>
      </c>
      <c r="D110" s="82" t="n">
        <f aca="false">IFERROR(C110/$C$141,0)</f>
        <v>0.00197368421052632</v>
      </c>
      <c r="E110" s="81" t="n">
        <v>150000</v>
      </c>
      <c r="F110" s="82" t="n">
        <f aca="false">IF(E110="","",IFERROR(E110/$E$141,0))</f>
        <v>0.00199108551194592</v>
      </c>
      <c r="G110" s="83" t="n">
        <f aca="false">E110-C110</f>
        <v>0</v>
      </c>
      <c r="H110" s="84" t="n">
        <f aca="false">IF(C110=0,"",E110/C110-1)</f>
        <v>0</v>
      </c>
      <c r="I110" s="85" t="s">
        <v>248</v>
      </c>
      <c r="J110" s="71"/>
    </row>
    <row r="111" customFormat="false" ht="13.5" hidden="false" customHeight="true" outlineLevel="0" collapsed="false">
      <c r="A111" s="79" t="s">
        <v>476</v>
      </c>
      <c r="B111" s="80" t="s">
        <v>477</v>
      </c>
      <c r="C111" s="89" t="n">
        <f aca="false">SUM(C112,C113,C114)</f>
        <v>350000</v>
      </c>
      <c r="D111" s="82" t="n">
        <f aca="false">IFERROR(C111/$C$141,0)</f>
        <v>0.00460526315789474</v>
      </c>
      <c r="E111" s="89" t="n">
        <f aca="false">SUM(E112,E113,E114)</f>
        <v>350000</v>
      </c>
      <c r="F111" s="82" t="n">
        <f aca="false">IF(E111="","",IFERROR(E111/$E$141,0))</f>
        <v>0.00464586619454047</v>
      </c>
      <c r="G111" s="83" t="n">
        <f aca="false">E111-C111</f>
        <v>0</v>
      </c>
      <c r="H111" s="84" t="n">
        <f aca="false">IF(C111=0,"",E111/C111-1)</f>
        <v>0</v>
      </c>
      <c r="I111" s="85" t="s">
        <v>248</v>
      </c>
      <c r="J111" s="71"/>
    </row>
    <row r="112" customFormat="false" ht="13.5" hidden="false" customHeight="true" outlineLevel="0" collapsed="false">
      <c r="A112" s="79" t="s">
        <v>478</v>
      </c>
      <c r="B112" s="90" t="s">
        <v>479</v>
      </c>
      <c r="C112" s="81" t="n">
        <v>125000</v>
      </c>
      <c r="D112" s="82" t="n">
        <f aca="false">IFERROR(C112/$C$141,0)</f>
        <v>0.00164473684210526</v>
      </c>
      <c r="E112" s="81" t="n">
        <v>125000</v>
      </c>
      <c r="F112" s="82" t="n">
        <f aca="false">IF(E112="","",IFERROR(E112/$E$141,0))</f>
        <v>0.0016592379266216</v>
      </c>
      <c r="G112" s="83" t="n">
        <f aca="false">E112-C112</f>
        <v>0</v>
      </c>
      <c r="H112" s="84" t="n">
        <f aca="false">IF(C112=0,"",E112/C112-1)</f>
        <v>0</v>
      </c>
      <c r="I112" s="85" t="s">
        <v>248</v>
      </c>
      <c r="J112" s="71"/>
    </row>
    <row r="113" customFormat="false" ht="13.5" hidden="false" customHeight="true" outlineLevel="0" collapsed="false">
      <c r="A113" s="79" t="s">
        <v>480</v>
      </c>
      <c r="B113" s="90" t="s">
        <v>481</v>
      </c>
      <c r="C113" s="81" t="n">
        <v>100000</v>
      </c>
      <c r="D113" s="82" t="n">
        <f aca="false">IFERROR(C113/$C$141,0)</f>
        <v>0.00131578947368421</v>
      </c>
      <c r="E113" s="81" t="n">
        <v>100000</v>
      </c>
      <c r="F113" s="82" t="n">
        <f aca="false">IF(E113="","",IFERROR(E113/$E$141,0))</f>
        <v>0.00132739034129728</v>
      </c>
      <c r="G113" s="83" t="n">
        <f aca="false">E113-C113</f>
        <v>0</v>
      </c>
      <c r="H113" s="84" t="n">
        <f aca="false">IF(C113=0,"",E113/C113-1)</f>
        <v>0</v>
      </c>
      <c r="I113" s="85" t="s">
        <v>248</v>
      </c>
      <c r="J113" s="71"/>
    </row>
    <row r="114" customFormat="false" ht="13.5" hidden="false" customHeight="true" outlineLevel="0" collapsed="false">
      <c r="A114" s="79" t="s">
        <v>482</v>
      </c>
      <c r="B114" s="90" t="s">
        <v>483</v>
      </c>
      <c r="C114" s="81" t="n">
        <v>125000</v>
      </c>
      <c r="D114" s="82" t="n">
        <f aca="false">IFERROR(C114/$C$141,0)</f>
        <v>0.00164473684210526</v>
      </c>
      <c r="E114" s="81" t="n">
        <v>125000</v>
      </c>
      <c r="F114" s="82" t="n">
        <f aca="false">IF(E114="","",IFERROR(E114/$E$141,0))</f>
        <v>0.0016592379266216</v>
      </c>
      <c r="G114" s="83" t="n">
        <f aca="false">E114-C114</f>
        <v>0</v>
      </c>
      <c r="H114" s="84" t="n">
        <f aca="false">IF(C114=0,"",E114/C114-1)</f>
        <v>0</v>
      </c>
      <c r="I114" s="85" t="s">
        <v>248</v>
      </c>
      <c r="J114" s="71"/>
    </row>
    <row r="115" customFormat="false" ht="13.5" hidden="false" customHeight="true" outlineLevel="0" collapsed="false">
      <c r="A115" s="79" t="s">
        <v>484</v>
      </c>
      <c r="B115" s="80" t="s">
        <v>485</v>
      </c>
      <c r="C115" s="81" t="n">
        <v>50000</v>
      </c>
      <c r="D115" s="82" t="n">
        <f aca="false">IFERROR(C115/$C$141,0)</f>
        <v>0.000657894736842105</v>
      </c>
      <c r="E115" s="81" t="n">
        <v>50000</v>
      </c>
      <c r="F115" s="82" t="n">
        <f aca="false">IF(E115="","",IFERROR(E115/$E$141,0))</f>
        <v>0.000663695170648639</v>
      </c>
      <c r="G115" s="83" t="n">
        <f aca="false">E115-C115</f>
        <v>0</v>
      </c>
      <c r="H115" s="84" t="n">
        <f aca="false">IF(C115=0,"",E115/C115-1)</f>
        <v>0</v>
      </c>
      <c r="I115" s="85" t="s">
        <v>248</v>
      </c>
      <c r="J115" s="71"/>
    </row>
    <row r="116" customFormat="false" ht="15.75" hidden="false" customHeight="true" outlineLevel="0" collapsed="false">
      <c r="A116" s="72" t="s">
        <v>486</v>
      </c>
      <c r="B116" s="73" t="s">
        <v>487</v>
      </c>
      <c r="C116" s="74" t="n">
        <f aca="false">SUM(C117,C118,C119,C120,C121)</f>
        <v>120000</v>
      </c>
      <c r="D116" s="75" t="n">
        <f aca="false">IFERROR(C116/$C$141,0)</f>
        <v>0.00157894736842105</v>
      </c>
      <c r="E116" s="74" t="n">
        <f aca="false">SUM(E117,E118,E119,E120,E121)</f>
        <v>120000</v>
      </c>
      <c r="F116" s="75" t="n">
        <f aca="false">IF(E116="","",IFERROR(E116/$E$141,0))</f>
        <v>0.00159286840955673</v>
      </c>
      <c r="G116" s="76" t="n">
        <f aca="false">E116-C116</f>
        <v>0</v>
      </c>
      <c r="H116" s="77" t="n">
        <f aca="false">IF(C116=0,"",E116/C116-1)</f>
        <v>0</v>
      </c>
      <c r="I116" s="78" t="s">
        <v>248</v>
      </c>
      <c r="J116" s="71"/>
    </row>
    <row r="117" customFormat="false" ht="13.5" hidden="false" customHeight="true" outlineLevel="0" collapsed="false">
      <c r="A117" s="79" t="s">
        <v>488</v>
      </c>
      <c r="B117" s="80" t="s">
        <v>489</v>
      </c>
      <c r="C117" s="81" t="n">
        <v>10000</v>
      </c>
      <c r="D117" s="82" t="n">
        <f aca="false">IFERROR(C117/$C$141,0)</f>
        <v>0.000131578947368421</v>
      </c>
      <c r="E117" s="81" t="n">
        <v>10000</v>
      </c>
      <c r="F117" s="82" t="n">
        <f aca="false">IF(E117="","",IFERROR(E117/$E$141,0))</f>
        <v>0.000132739034129728</v>
      </c>
      <c r="G117" s="83" t="n">
        <f aca="false">E117-C117</f>
        <v>0</v>
      </c>
      <c r="H117" s="84" t="n">
        <f aca="false">IF(C117=0,"",E117/C117-1)</f>
        <v>0</v>
      </c>
      <c r="I117" s="85" t="s">
        <v>248</v>
      </c>
      <c r="J117" s="71"/>
    </row>
    <row r="118" customFormat="false" ht="13.5" hidden="false" customHeight="true" outlineLevel="0" collapsed="false">
      <c r="A118" s="79" t="s">
        <v>490</v>
      </c>
      <c r="B118" s="80" t="s">
        <v>491</v>
      </c>
      <c r="C118" s="81" t="n">
        <v>10000</v>
      </c>
      <c r="D118" s="82" t="n">
        <f aca="false">IFERROR(C118/$C$141,0)</f>
        <v>0.000131578947368421</v>
      </c>
      <c r="E118" s="81" t="n">
        <v>10000</v>
      </c>
      <c r="F118" s="82" t="n">
        <f aca="false">IF(E118="","",IFERROR(E118/$E$141,0))</f>
        <v>0.000132739034129728</v>
      </c>
      <c r="G118" s="83" t="n">
        <f aca="false">E118-C118</f>
        <v>0</v>
      </c>
      <c r="H118" s="84" t="n">
        <f aca="false">IF(C118=0,"",E118/C118-1)</f>
        <v>0</v>
      </c>
      <c r="I118" s="85" t="s">
        <v>248</v>
      </c>
      <c r="J118" s="71"/>
    </row>
    <row r="119" customFormat="false" ht="13.5" hidden="false" customHeight="true" outlineLevel="0" collapsed="false">
      <c r="A119" s="79" t="s">
        <v>492</v>
      </c>
      <c r="B119" s="80" t="s">
        <v>493</v>
      </c>
      <c r="C119" s="81" t="n">
        <v>60000</v>
      </c>
      <c r="D119" s="82" t="n">
        <f aca="false">IFERROR(C119/$C$141,0)</f>
        <v>0.000789473684210526</v>
      </c>
      <c r="E119" s="81" t="n">
        <v>60000</v>
      </c>
      <c r="F119" s="82" t="n">
        <f aca="false">IF(E119="","",IFERROR(E119/$E$141,0))</f>
        <v>0.000796434204778366</v>
      </c>
      <c r="G119" s="83" t="n">
        <f aca="false">E119-C119</f>
        <v>0</v>
      </c>
      <c r="H119" s="84" t="n">
        <f aca="false">IF(C119=0,"",E119/C119-1)</f>
        <v>0</v>
      </c>
      <c r="I119" s="85" t="s">
        <v>248</v>
      </c>
      <c r="J119" s="71"/>
    </row>
    <row r="120" customFormat="false" ht="13.5" hidden="false" customHeight="true" outlineLevel="0" collapsed="false">
      <c r="A120" s="79" t="s">
        <v>494</v>
      </c>
      <c r="B120" s="80" t="s">
        <v>495</v>
      </c>
      <c r="C120" s="81" t="n">
        <v>30000</v>
      </c>
      <c r="D120" s="82" t="n">
        <f aca="false">IFERROR(C120/$C$141,0)</f>
        <v>0.000394736842105263</v>
      </c>
      <c r="E120" s="81" t="n">
        <v>30000</v>
      </c>
      <c r="F120" s="82" t="n">
        <f aca="false">IF(E120="","",IFERROR(E120/$E$141,0))</f>
        <v>0.000398217102389183</v>
      </c>
      <c r="G120" s="83" t="n">
        <f aca="false">E120-C120</f>
        <v>0</v>
      </c>
      <c r="H120" s="84" t="n">
        <f aca="false">IF(C120=0,"",E120/C120-1)</f>
        <v>0</v>
      </c>
      <c r="I120" s="85" t="s">
        <v>248</v>
      </c>
      <c r="J120" s="71"/>
    </row>
    <row r="121" customFormat="false" ht="13.5" hidden="false" customHeight="true" outlineLevel="0" collapsed="false">
      <c r="A121" s="79" t="s">
        <v>496</v>
      </c>
      <c r="B121" s="80" t="s">
        <v>497</v>
      </c>
      <c r="C121" s="81" t="n">
        <v>10000</v>
      </c>
      <c r="D121" s="82" t="n">
        <f aca="false">IFERROR(C121/$C$141,0)</f>
        <v>0.000131578947368421</v>
      </c>
      <c r="E121" s="81" t="n">
        <v>10000</v>
      </c>
      <c r="F121" s="82" t="n">
        <f aca="false">IF(E121="","",IFERROR(E121/$E$141,0))</f>
        <v>0.000132739034129728</v>
      </c>
      <c r="G121" s="83" t="n">
        <f aca="false">E121-C121</f>
        <v>0</v>
      </c>
      <c r="H121" s="84" t="n">
        <f aca="false">IF(C121=0,"",E121/C121-1)</f>
        <v>0</v>
      </c>
      <c r="I121" s="85" t="s">
        <v>248</v>
      </c>
      <c r="J121" s="71"/>
    </row>
    <row r="122" customFormat="false" ht="15.75" hidden="false" customHeight="true" outlineLevel="0" collapsed="false">
      <c r="A122" s="72" t="s">
        <v>498</v>
      </c>
      <c r="B122" s="73" t="s">
        <v>499</v>
      </c>
      <c r="C122" s="74" t="n">
        <f aca="false">SUM(C123,C124,C125)</f>
        <v>80000</v>
      </c>
      <c r="D122" s="75" t="n">
        <f aca="false">IFERROR(C122/$C$141,0)</f>
        <v>0.00105263157894737</v>
      </c>
      <c r="E122" s="74" t="n">
        <f aca="false">SUM(E123,E124,E125)</f>
        <v>80000</v>
      </c>
      <c r="F122" s="75" t="n">
        <f aca="false">IF(E122="","",IFERROR(E122/$E$141,0))</f>
        <v>0.00106191227303782</v>
      </c>
      <c r="G122" s="76" t="n">
        <f aca="false">E122-C122</f>
        <v>0</v>
      </c>
      <c r="H122" s="77" t="n">
        <f aca="false">IF(C122=0,"",E122/C122-1)</f>
        <v>0</v>
      </c>
      <c r="I122" s="78" t="s">
        <v>248</v>
      </c>
      <c r="J122" s="71"/>
    </row>
    <row r="123" customFormat="false" ht="13.5" hidden="false" customHeight="true" outlineLevel="0" collapsed="false">
      <c r="A123" s="79" t="s">
        <v>500</v>
      </c>
      <c r="B123" s="80" t="s">
        <v>501</v>
      </c>
      <c r="C123" s="81" t="n">
        <v>30000</v>
      </c>
      <c r="D123" s="82" t="n">
        <f aca="false">IFERROR(C123/$C$141,0)</f>
        <v>0.000394736842105263</v>
      </c>
      <c r="E123" s="81" t="n">
        <v>30000</v>
      </c>
      <c r="F123" s="82" t="n">
        <f aca="false">IF(E123="","",IFERROR(E123/$E$141,0))</f>
        <v>0.000398217102389183</v>
      </c>
      <c r="G123" s="83" t="n">
        <f aca="false">E123-C123</f>
        <v>0</v>
      </c>
      <c r="H123" s="84" t="n">
        <f aca="false">IF(C123=0,"",E123/C123-1)</f>
        <v>0</v>
      </c>
      <c r="I123" s="85" t="s">
        <v>248</v>
      </c>
      <c r="J123" s="71"/>
    </row>
    <row r="124" customFormat="false" ht="13.5" hidden="false" customHeight="true" outlineLevel="0" collapsed="false">
      <c r="A124" s="79" t="s">
        <v>502</v>
      </c>
      <c r="B124" s="80" t="s">
        <v>503</v>
      </c>
      <c r="C124" s="81" t="n">
        <v>40000</v>
      </c>
      <c r="D124" s="82" t="n">
        <f aca="false">IFERROR(C124/$C$141,0)</f>
        <v>0.000526315789473684</v>
      </c>
      <c r="E124" s="81" t="n">
        <v>40000</v>
      </c>
      <c r="F124" s="82" t="n">
        <f aca="false">IF(E124="","",IFERROR(E124/$E$141,0))</f>
        <v>0.000530956136518911</v>
      </c>
      <c r="G124" s="83" t="n">
        <f aca="false">E124-C124</f>
        <v>0</v>
      </c>
      <c r="H124" s="84" t="n">
        <f aca="false">IF(C124=0,"",E124/C124-1)</f>
        <v>0</v>
      </c>
      <c r="I124" s="85" t="s">
        <v>248</v>
      </c>
      <c r="J124" s="71"/>
    </row>
    <row r="125" customFormat="false" ht="13.5" hidden="false" customHeight="true" outlineLevel="0" collapsed="false">
      <c r="A125" s="79" t="s">
        <v>504</v>
      </c>
      <c r="B125" s="80" t="s">
        <v>505</v>
      </c>
      <c r="C125" s="81" t="n">
        <v>10000</v>
      </c>
      <c r="D125" s="82" t="n">
        <f aca="false">IFERROR(C125/$C$141,0)</f>
        <v>0.000131578947368421</v>
      </c>
      <c r="E125" s="81" t="n">
        <v>10000</v>
      </c>
      <c r="F125" s="82" t="n">
        <f aca="false">IF(E125="","",IFERROR(E125/$E$141,0))</f>
        <v>0.000132739034129728</v>
      </c>
      <c r="G125" s="83" t="n">
        <f aca="false">E125-C125</f>
        <v>0</v>
      </c>
      <c r="H125" s="84" t="n">
        <f aca="false">IF(C125=0,"",E125/C125-1)</f>
        <v>0</v>
      </c>
      <c r="I125" s="85" t="s">
        <v>248</v>
      </c>
      <c r="J125" s="71"/>
    </row>
    <row r="126" customFormat="false" ht="15.75" hidden="false" customHeight="true" outlineLevel="0" collapsed="false">
      <c r="A126" s="72" t="s">
        <v>506</v>
      </c>
      <c r="B126" s="73" t="s">
        <v>507</v>
      </c>
      <c r="C126" s="74" t="n">
        <f aca="false">SUM(C127,C128,C129,C130)</f>
        <v>800000</v>
      </c>
      <c r="D126" s="75" t="n">
        <f aca="false">IFERROR(C126/$C$141,0)</f>
        <v>0.0105263157894737</v>
      </c>
      <c r="E126" s="74" t="n">
        <f aca="false">SUM(E127,E128,E129,E130)</f>
        <v>800000</v>
      </c>
      <c r="F126" s="75" t="n">
        <f aca="false">IF(E126="","",IFERROR(E126/$E$141,0))</f>
        <v>0.0106191227303782</v>
      </c>
      <c r="G126" s="76" t="n">
        <f aca="false">E126-C126</f>
        <v>0</v>
      </c>
      <c r="H126" s="77" t="n">
        <f aca="false">IF(C126=0,"",E126/C126-1)</f>
        <v>0</v>
      </c>
      <c r="I126" s="78" t="s">
        <v>248</v>
      </c>
      <c r="J126" s="71"/>
    </row>
    <row r="127" customFormat="false" ht="13.5" hidden="false" customHeight="true" outlineLevel="0" collapsed="false">
      <c r="A127" s="79" t="s">
        <v>508</v>
      </c>
      <c r="B127" s="80" t="s">
        <v>509</v>
      </c>
      <c r="C127" s="81" t="n">
        <v>500000</v>
      </c>
      <c r="D127" s="82" t="n">
        <f aca="false">IFERROR(C127/$C$141,0)</f>
        <v>0.00657894736842105</v>
      </c>
      <c r="E127" s="81" t="n">
        <v>500000</v>
      </c>
      <c r="F127" s="82" t="n">
        <f aca="false">IF(E127="","",IFERROR(E127/$E$141,0))</f>
        <v>0.00663695170648639</v>
      </c>
      <c r="G127" s="83" t="n">
        <f aca="false">E127-C127</f>
        <v>0</v>
      </c>
      <c r="H127" s="84" t="n">
        <f aca="false">IF(C127=0,"",E127/C127-1)</f>
        <v>0</v>
      </c>
      <c r="I127" s="85" t="s">
        <v>248</v>
      </c>
      <c r="J127" s="71"/>
    </row>
    <row r="128" customFormat="false" ht="13.5" hidden="false" customHeight="true" outlineLevel="0" collapsed="false">
      <c r="A128" s="79" t="s">
        <v>510</v>
      </c>
      <c r="B128" s="80" t="s">
        <v>511</v>
      </c>
      <c r="C128" s="81" t="n">
        <v>0</v>
      </c>
      <c r="D128" s="82" t="n">
        <f aca="false">IFERROR(C128/$C$141,0)</f>
        <v>0</v>
      </c>
      <c r="E128" s="81" t="n">
        <v>0</v>
      </c>
      <c r="F128" s="82" t="n">
        <f aca="false">IF(E128="","",IFERROR(E128/$E$141,0))</f>
        <v>0</v>
      </c>
      <c r="G128" s="83" t="n">
        <f aca="false">E128-C128</f>
        <v>0</v>
      </c>
      <c r="H128" s="84" t="str">
        <f aca="false">IF(C128=0,"",E128/C128-1)</f>
        <v/>
      </c>
      <c r="I128" s="85" t="s">
        <v>248</v>
      </c>
      <c r="J128" s="71" t="s">
        <v>512</v>
      </c>
    </row>
    <row r="129" customFormat="false" ht="13.5" hidden="false" customHeight="true" outlineLevel="0" collapsed="false">
      <c r="A129" s="79" t="s">
        <v>513</v>
      </c>
      <c r="B129" s="80" t="s">
        <v>514</v>
      </c>
      <c r="C129" s="81" t="n">
        <v>0</v>
      </c>
      <c r="D129" s="82" t="n">
        <f aca="false">IFERROR(C129/$C$141,0)</f>
        <v>0</v>
      </c>
      <c r="E129" s="81" t="n">
        <v>0</v>
      </c>
      <c r="F129" s="82" t="n">
        <f aca="false">IF(E129="","",IFERROR(E129/$E$141,0))</f>
        <v>0</v>
      </c>
      <c r="G129" s="83" t="n">
        <f aca="false">E129-C129</f>
        <v>0</v>
      </c>
      <c r="H129" s="84" t="str">
        <f aca="false">IF(C129=0,"",E129/C129-1)</f>
        <v/>
      </c>
      <c r="I129" s="85" t="s">
        <v>248</v>
      </c>
      <c r="J129" s="71"/>
    </row>
    <row r="130" customFormat="false" ht="13.5" hidden="false" customHeight="true" outlineLevel="0" collapsed="false">
      <c r="A130" s="79" t="s">
        <v>515</v>
      </c>
      <c r="B130" s="80" t="s">
        <v>516</v>
      </c>
      <c r="C130" s="81" t="n">
        <v>300000</v>
      </c>
      <c r="D130" s="82" t="n">
        <f aca="false">IFERROR(C130/$C$141,0)</f>
        <v>0.00394736842105263</v>
      </c>
      <c r="E130" s="81" t="n">
        <v>300000</v>
      </c>
      <c r="F130" s="82" t="n">
        <f aca="false">IF(E130="","",IFERROR(E130/$E$141,0))</f>
        <v>0.00398217102389183</v>
      </c>
      <c r="G130" s="83" t="n">
        <f aca="false">E130-C130</f>
        <v>0</v>
      </c>
      <c r="H130" s="84" t="n">
        <f aca="false">IF(C130=0,"",E130/C130-1)</f>
        <v>0</v>
      </c>
      <c r="I130" s="85" t="s">
        <v>248</v>
      </c>
      <c r="J130" s="71"/>
    </row>
    <row r="131" customFormat="false" ht="15.75" hidden="false" customHeight="true" outlineLevel="0" collapsed="false">
      <c r="A131" s="72" t="s">
        <v>517</v>
      </c>
      <c r="B131" s="73" t="s">
        <v>518</v>
      </c>
      <c r="C131" s="74" t="n">
        <f aca="false">SUM(C132,C133,C134,C135)</f>
        <v>95000</v>
      </c>
      <c r="D131" s="75" t="n">
        <f aca="false">IFERROR(C131/$C$141,0)</f>
        <v>0.00125</v>
      </c>
      <c r="E131" s="74" t="n">
        <f aca="false">SUM(E132,E133,E134,E135)</f>
        <v>95000</v>
      </c>
      <c r="F131" s="75" t="n">
        <f aca="false">IF(E131="","",IFERROR(E131/$E$141,0))</f>
        <v>0.00126102082423241</v>
      </c>
      <c r="G131" s="76" t="n">
        <f aca="false">E131-C131</f>
        <v>0</v>
      </c>
      <c r="H131" s="77" t="n">
        <f aca="false">IF(C131=0,"",E131/C131-1)</f>
        <v>0</v>
      </c>
      <c r="I131" s="78" t="s">
        <v>248</v>
      </c>
      <c r="J131" s="71"/>
    </row>
    <row r="132" customFormat="false" ht="13.5" hidden="false" customHeight="true" outlineLevel="0" collapsed="false">
      <c r="A132" s="79" t="s">
        <v>519</v>
      </c>
      <c r="B132" s="80" t="s">
        <v>520</v>
      </c>
      <c r="C132" s="81" t="n">
        <v>0</v>
      </c>
      <c r="D132" s="82" t="n">
        <f aca="false">IFERROR(C132/$C$141,0)</f>
        <v>0</v>
      </c>
      <c r="E132" s="81" t="n">
        <v>0</v>
      </c>
      <c r="F132" s="82" t="n">
        <f aca="false">IF(E132="","",IFERROR(E132/$E$141,0))</f>
        <v>0</v>
      </c>
      <c r="G132" s="83" t="n">
        <f aca="false">E132-C132</f>
        <v>0</v>
      </c>
      <c r="H132" s="84" t="str">
        <f aca="false">IF(C132=0,"",E132/C132-1)</f>
        <v/>
      </c>
      <c r="I132" s="85" t="s">
        <v>248</v>
      </c>
      <c r="J132" s="71" t="s">
        <v>512</v>
      </c>
    </row>
    <row r="133" customFormat="false" ht="13.5" hidden="false" customHeight="true" outlineLevel="0" collapsed="false">
      <c r="A133" s="79" t="s">
        <v>521</v>
      </c>
      <c r="B133" s="80" t="s">
        <v>522</v>
      </c>
      <c r="C133" s="81" t="n">
        <v>15000</v>
      </c>
      <c r="D133" s="82" t="n">
        <f aca="false">IFERROR(C133/$C$141,0)</f>
        <v>0.000197368421052632</v>
      </c>
      <c r="E133" s="81" t="n">
        <v>15000</v>
      </c>
      <c r="F133" s="82" t="n">
        <f aca="false">IF(E133="","",IFERROR(E133/$E$141,0))</f>
        <v>0.000199108551194592</v>
      </c>
      <c r="G133" s="83" t="n">
        <f aca="false">E133-C133</f>
        <v>0</v>
      </c>
      <c r="H133" s="84" t="n">
        <f aca="false">IF(C133=0,"",E133/C133-1)</f>
        <v>0</v>
      </c>
      <c r="I133" s="85" t="s">
        <v>248</v>
      </c>
      <c r="J133" s="71"/>
    </row>
    <row r="134" customFormat="false" ht="13.5" hidden="false" customHeight="true" outlineLevel="0" collapsed="false">
      <c r="A134" s="79" t="s">
        <v>523</v>
      </c>
      <c r="B134" s="80" t="s">
        <v>524</v>
      </c>
      <c r="C134" s="81" t="n">
        <v>30000</v>
      </c>
      <c r="D134" s="82" t="n">
        <f aca="false">IFERROR(C134/$C$141,0)</f>
        <v>0.000394736842105263</v>
      </c>
      <c r="E134" s="81" t="n">
        <v>30000</v>
      </c>
      <c r="F134" s="82" t="n">
        <f aca="false">IF(E134="","",IFERROR(E134/$E$141,0))</f>
        <v>0.000398217102389183</v>
      </c>
      <c r="G134" s="83" t="n">
        <f aca="false">E134-C134</f>
        <v>0</v>
      </c>
      <c r="H134" s="84" t="n">
        <f aca="false">IF(C134=0,"",E134/C134-1)</f>
        <v>0</v>
      </c>
      <c r="I134" s="85" t="s">
        <v>248</v>
      </c>
      <c r="J134" s="71"/>
    </row>
    <row r="135" customFormat="false" ht="13.5" hidden="false" customHeight="true" outlineLevel="0" collapsed="false">
      <c r="A135" s="79" t="s">
        <v>525</v>
      </c>
      <c r="B135" s="80" t="s">
        <v>526</v>
      </c>
      <c r="C135" s="81" t="n">
        <v>50000</v>
      </c>
      <c r="D135" s="82" t="n">
        <f aca="false">IFERROR(C135/$C$141,0)</f>
        <v>0.000657894736842105</v>
      </c>
      <c r="E135" s="81" t="n">
        <v>50000</v>
      </c>
      <c r="F135" s="82" t="n">
        <f aca="false">IF(E135="","",IFERROR(E135/$E$141,0))</f>
        <v>0.000663695170648639</v>
      </c>
      <c r="G135" s="83" t="n">
        <f aca="false">E135-C135</f>
        <v>0</v>
      </c>
      <c r="H135" s="84" t="n">
        <f aca="false">IF(C135=0,"",E135/C135-1)</f>
        <v>0</v>
      </c>
      <c r="I135" s="85" t="s">
        <v>248</v>
      </c>
      <c r="J135" s="71"/>
    </row>
    <row r="136" customFormat="false" ht="15.75" hidden="false" customHeight="true" outlineLevel="0" collapsed="false">
      <c r="A136" s="64" t="s">
        <v>527</v>
      </c>
      <c r="B136" s="65" t="s">
        <v>528</v>
      </c>
      <c r="C136" s="66" t="n">
        <f aca="false">SUM(C137,C138,C139)</f>
        <v>3556000</v>
      </c>
      <c r="D136" s="67" t="n">
        <f aca="false">IFERROR(C136/$C$141,0)</f>
        <v>0.0467894736842105</v>
      </c>
      <c r="E136" s="66" t="n">
        <f aca="false">SUM(E137,E138,E139)</f>
        <v>3556000</v>
      </c>
      <c r="F136" s="67" t="n">
        <f aca="false">IF(E136="","",IFERROR(E136/$E$141,0))</f>
        <v>0.0472020005365312</v>
      </c>
      <c r="G136" s="68" t="n">
        <f aca="false">E136-C136</f>
        <v>0</v>
      </c>
      <c r="H136" s="69" t="n">
        <f aca="false">IF(C136=0,"",E136/C136-1)</f>
        <v>0</v>
      </c>
      <c r="I136" s="70" t="s">
        <v>248</v>
      </c>
      <c r="J136" s="71" t="s">
        <v>529</v>
      </c>
    </row>
    <row r="137" customFormat="false" ht="15.75" hidden="false" customHeight="true" outlineLevel="0" collapsed="false">
      <c r="A137" s="72" t="s">
        <v>530</v>
      </c>
      <c r="B137" s="73" t="s">
        <v>531</v>
      </c>
      <c r="C137" s="86" t="n">
        <v>706000</v>
      </c>
      <c r="D137" s="75" t="n">
        <f aca="false">IFERROR(C137/$C$141,0)</f>
        <v>0.00928947368421053</v>
      </c>
      <c r="E137" s="86" t="n">
        <v>706000</v>
      </c>
      <c r="F137" s="75" t="n">
        <f aca="false">IF(E137="","",IFERROR(E137/$E$141,0))</f>
        <v>0.00937137580955878</v>
      </c>
      <c r="G137" s="76" t="n">
        <f aca="false">E137-C137</f>
        <v>0</v>
      </c>
      <c r="H137" s="77" t="n">
        <f aca="false">IF(C137=0,"",E137/C137-1)</f>
        <v>0</v>
      </c>
      <c r="I137" s="78" t="s">
        <v>248</v>
      </c>
      <c r="J137" s="71" t="s">
        <v>532</v>
      </c>
    </row>
    <row r="138" customFormat="false" ht="15.75" hidden="false" customHeight="true" outlineLevel="0" collapsed="false">
      <c r="A138" s="72" t="s">
        <v>533</v>
      </c>
      <c r="B138" s="73" t="s">
        <v>534</v>
      </c>
      <c r="C138" s="86" t="n">
        <v>1350000</v>
      </c>
      <c r="D138" s="75" t="n">
        <f aca="false">IFERROR(C138/$C$141,0)</f>
        <v>0.0177631578947368</v>
      </c>
      <c r="E138" s="86" t="n">
        <v>1350000</v>
      </c>
      <c r="F138" s="75" t="n">
        <f aca="false">IF(E138="","",IFERROR(E138/$E$141,0))</f>
        <v>0.0179197696075132</v>
      </c>
      <c r="G138" s="76" t="n">
        <f aca="false">E138-C138</f>
        <v>0</v>
      </c>
      <c r="H138" s="77" t="n">
        <f aca="false">IF(C138=0,"",E138/C138-1)</f>
        <v>0</v>
      </c>
      <c r="I138" s="78" t="s">
        <v>248</v>
      </c>
      <c r="J138" s="71" t="s">
        <v>535</v>
      </c>
    </row>
    <row r="139" customFormat="false" ht="15.75" hidden="false" customHeight="true" outlineLevel="0" collapsed="false">
      <c r="A139" s="72" t="s">
        <v>536</v>
      </c>
      <c r="B139" s="73" t="s">
        <v>537</v>
      </c>
      <c r="C139" s="86" t="n">
        <v>1500000</v>
      </c>
      <c r="D139" s="75" t="n">
        <f aca="false">IFERROR(C139/$C$141,0)</f>
        <v>0.0197368421052632</v>
      </c>
      <c r="E139" s="86" t="n">
        <v>1500000</v>
      </c>
      <c r="F139" s="75" t="n">
        <f aca="false">IF(E139="","",IFERROR(E139/$E$141,0))</f>
        <v>0.0199108551194592</v>
      </c>
      <c r="G139" s="76" t="n">
        <f aca="false">E139-C139</f>
        <v>0</v>
      </c>
      <c r="H139" s="77" t="n">
        <f aca="false">IF(C139=0,"",E139/C139-1)</f>
        <v>0</v>
      </c>
      <c r="I139" s="78" t="s">
        <v>248</v>
      </c>
      <c r="J139" s="71" t="s">
        <v>538</v>
      </c>
    </row>
    <row r="141" customFormat="false" ht="21.75" hidden="false" customHeight="true" outlineLevel="0" collapsed="false">
      <c r="A141" s="93" t="s">
        <v>539</v>
      </c>
      <c r="B141" s="94" t="s">
        <v>540</v>
      </c>
      <c r="C141" s="95" t="n">
        <f aca="false">SUM(C8,C16,C19,C100,C107,C136)</f>
        <v>76000000</v>
      </c>
      <c r="D141" s="96" t="n">
        <f aca="false">C141/$C$141</f>
        <v>1</v>
      </c>
      <c r="E141" s="95" t="n">
        <f aca="false">SUM(E8,E16,E19,E100,E107,E136)</f>
        <v>75335790</v>
      </c>
      <c r="F141" s="96" t="n">
        <f aca="false">E141/$E$141</f>
        <v>1</v>
      </c>
      <c r="G141" s="97" t="n">
        <f aca="false">E141-C141</f>
        <v>-664210</v>
      </c>
      <c r="H141" s="98" t="n">
        <f aca="false">E141/C141-1</f>
        <v>-0.00873960526315787</v>
      </c>
      <c r="I141" s="99"/>
      <c r="J141" s="99"/>
    </row>
    <row r="143" customFormat="false" ht="15" hidden="false" customHeight="false" outlineLevel="0" collapsed="false">
      <c r="B143" s="11" t="s">
        <v>541</v>
      </c>
    </row>
    <row r="144" customFormat="false" ht="15" hidden="false" customHeight="false" outlineLevel="0" collapsed="false">
      <c r="B144" s="100" t="s">
        <v>542</v>
      </c>
      <c r="C144" s="101" t="n">
        <v>76000000</v>
      </c>
      <c r="E144" s="101" t="n">
        <v>75335790</v>
      </c>
      <c r="G144" s="102" t="str">
        <f aca="false">IF(AND(C141=C144,E141=E144),"Abgleich in Ordnung","ABWEICHUNG PRÜFEN")</f>
        <v>Abgleich in Ordnung</v>
      </c>
    </row>
  </sheetData>
  <autoFilter ref="A7:J140"/>
  <conditionalFormatting sqref="G8:G141">
    <cfRule type="colorScale" priority="2">
      <colorScale>
        <cfvo type="min" val="0"/>
        <cfvo type="num" val="0"/>
        <cfvo type="max" val="0"/>
        <color rgb="FFEDF3DA"/>
        <color rgb="FFFFFFFF"/>
        <color rgb="FFF8EFD4"/>
      </colorScale>
    </cfRule>
  </conditionalFormatting>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D603E"/>
    <pageSetUpPr fitToPage="true"/>
  </sheetPr>
  <dimension ref="A1:K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44"/>
    <col collapsed="false" customWidth="true" hidden="false" outlineLevel="0" max="3" min="3" style="0" width="16"/>
    <col collapsed="false" customWidth="true" hidden="false" outlineLevel="0" max="4" min="4" style="0" width="9"/>
    <col collapsed="false" customWidth="true" hidden="false" outlineLevel="0" max="5" min="5" style="0" width="16"/>
    <col collapsed="false" customWidth="true" hidden="false" outlineLevel="0" max="6" min="6" style="0" width="9"/>
    <col collapsed="false" customWidth="true" hidden="false" outlineLevel="0" max="7" min="7" style="0" width="14"/>
    <col collapsed="false" customWidth="true" hidden="false" outlineLevel="0" max="8" min="8" style="0" width="9"/>
    <col collapsed="false" customWidth="true" hidden="false" outlineLevel="0" max="10" min="9" style="0" width="13"/>
    <col collapsed="false" customWidth="true" hidden="false" outlineLevel="0" max="11" min="11" style="0" width="24"/>
  </cols>
  <sheetData>
    <row r="1" customFormat="false" ht="13.5" hidden="false" customHeight="true" outlineLevel="0" collapsed="false">
      <c r="A1" s="1" t="s">
        <v>0</v>
      </c>
      <c r="B1" s="2"/>
      <c r="C1" s="2"/>
      <c r="D1" s="2"/>
      <c r="E1" s="2"/>
      <c r="F1" s="2"/>
      <c r="G1" s="2"/>
      <c r="H1" s="2"/>
      <c r="I1" s="2"/>
      <c r="J1" s="2"/>
      <c r="K1" s="2"/>
    </row>
    <row r="2" customFormat="false" ht="24" hidden="false" customHeight="true" outlineLevel="0" collapsed="false">
      <c r="A2" s="3" t="s">
        <v>543</v>
      </c>
      <c r="B2" s="2"/>
      <c r="C2" s="2"/>
      <c r="D2" s="2"/>
      <c r="E2" s="2"/>
      <c r="F2" s="2"/>
      <c r="G2" s="2"/>
      <c r="H2" s="2"/>
      <c r="I2" s="2"/>
      <c r="J2" s="2"/>
      <c r="K2" s="2"/>
    </row>
    <row r="3" customFormat="false" ht="15.75" hidden="false" customHeight="true" outlineLevel="0" collapsed="false">
      <c r="A3" s="4" t="s">
        <v>544</v>
      </c>
      <c r="B3" s="2"/>
      <c r="C3" s="2"/>
      <c r="D3" s="2"/>
      <c r="E3" s="2"/>
      <c r="F3" s="2"/>
      <c r="G3" s="2"/>
      <c r="H3" s="2"/>
      <c r="I3" s="2"/>
      <c r="J3" s="2"/>
      <c r="K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545</v>
      </c>
      <c r="B7" s="8"/>
      <c r="C7" s="8"/>
      <c r="D7" s="8"/>
      <c r="E7" s="8"/>
      <c r="F7" s="8"/>
      <c r="G7" s="8"/>
      <c r="H7" s="8"/>
      <c r="I7" s="8"/>
      <c r="J7" s="8"/>
      <c r="K7" s="8"/>
    </row>
    <row r="8" customFormat="false" ht="33.75" hidden="false" customHeight="true" outlineLevel="0" collapsed="false">
      <c r="A8" s="39" t="s">
        <v>237</v>
      </c>
      <c r="B8" s="39" t="s">
        <v>546</v>
      </c>
      <c r="C8" s="39" t="s">
        <v>547</v>
      </c>
      <c r="D8" s="39" t="s">
        <v>240</v>
      </c>
      <c r="E8" s="39" t="s">
        <v>548</v>
      </c>
      <c r="F8" s="39" t="s">
        <v>240</v>
      </c>
      <c r="G8" s="39" t="s">
        <v>549</v>
      </c>
      <c r="H8" s="39" t="s">
        <v>243</v>
      </c>
      <c r="I8" s="39" t="s">
        <v>550</v>
      </c>
      <c r="J8" s="39" t="s">
        <v>551</v>
      </c>
      <c r="K8" s="39" t="s">
        <v>552</v>
      </c>
    </row>
    <row r="9" customFormat="false" ht="15.75" hidden="false" customHeight="true" outlineLevel="0" collapsed="false">
      <c r="A9" s="103" t="s">
        <v>246</v>
      </c>
      <c r="B9" s="10" t="s">
        <v>247</v>
      </c>
      <c r="C9" s="104" t="n">
        <f aca="false">'03 KV-Vergleich Detail'!C8</f>
        <v>15000000</v>
      </c>
      <c r="D9" s="105" t="n">
        <f aca="false">C9/$C$15</f>
        <v>0.197368421052632</v>
      </c>
      <c r="E9" s="104" t="n">
        <f aca="false">'03 KV-Vergleich Detail'!E8</f>
        <v>15000000</v>
      </c>
      <c r="F9" s="105" t="n">
        <f aca="false">E9/$E$15</f>
        <v>0.199108551194592</v>
      </c>
      <c r="G9" s="106" t="n">
        <f aca="false">E9-C9</f>
        <v>0</v>
      </c>
      <c r="H9" s="107" t="n">
        <f aca="false">E9/C9-1</f>
        <v>0</v>
      </c>
      <c r="I9" s="89" t="n">
        <f aca="false">C9/'02 Annahmen'!C18</f>
        <v>612.594952217594</v>
      </c>
      <c r="J9" s="89" t="n">
        <f aca="false">E9/'02 Annahmen'!C18</f>
        <v>612.594952217594</v>
      </c>
      <c r="K9" s="108" t="s">
        <v>553</v>
      </c>
    </row>
    <row r="10" customFormat="false" ht="15.75" hidden="false" customHeight="true" outlineLevel="0" collapsed="false">
      <c r="A10" s="103" t="s">
        <v>268</v>
      </c>
      <c r="B10" s="10" t="s">
        <v>554</v>
      </c>
      <c r="C10" s="104" t="n">
        <f aca="false">'03 KV-Vergleich Detail'!C16</f>
        <v>7500000</v>
      </c>
      <c r="D10" s="105" t="n">
        <f aca="false">C10/$C$15</f>
        <v>0.0986842105263158</v>
      </c>
      <c r="E10" s="104" t="n">
        <f aca="false">'03 KV-Vergleich Detail'!E16</f>
        <v>7500000</v>
      </c>
      <c r="F10" s="105" t="n">
        <f aca="false">E10/$E$15</f>
        <v>0.0995542755972958</v>
      </c>
      <c r="G10" s="106" t="n">
        <f aca="false">E10-C10</f>
        <v>0</v>
      </c>
      <c r="H10" s="107" t="n">
        <f aca="false">E10/C10-1</f>
        <v>0</v>
      </c>
      <c r="I10" s="89" t="n">
        <f aca="false">C10/'02 Annahmen'!C18</f>
        <v>306.297476108797</v>
      </c>
      <c r="J10" s="89" t="n">
        <f aca="false">E10/'02 Annahmen'!C18</f>
        <v>306.297476108797</v>
      </c>
      <c r="K10" s="108" t="s">
        <v>555</v>
      </c>
    </row>
    <row r="11" customFormat="false" ht="15.75" hidden="false" customHeight="true" outlineLevel="0" collapsed="false">
      <c r="A11" s="103" t="s">
        <v>276</v>
      </c>
      <c r="B11" s="10" t="s">
        <v>277</v>
      </c>
      <c r="C11" s="104" t="n">
        <f aca="false">'03 KV-Vergleich Detail'!C19</f>
        <v>45704000</v>
      </c>
      <c r="D11" s="105" t="n">
        <f aca="false">C11/$C$15</f>
        <v>0.601368421052632</v>
      </c>
      <c r="E11" s="104" t="n">
        <f aca="false">'03 KV-Vergleich Detail'!E19</f>
        <v>45039790</v>
      </c>
      <c r="F11" s="105" t="n">
        <f aca="false">E11/$E$15</f>
        <v>0.597853822200577</v>
      </c>
      <c r="G11" s="106" t="n">
        <f aca="false">E11-C11</f>
        <v>-664210</v>
      </c>
      <c r="H11" s="107" t="n">
        <f aca="false">E11/C11-1</f>
        <v>-0.0145328636443199</v>
      </c>
      <c r="I11" s="89" t="n">
        <f aca="false">C11/'02 Annahmen'!C18</f>
        <v>1866.53597974353</v>
      </c>
      <c r="J11" s="89" t="n">
        <f aca="false">E11/'02 Annahmen'!C18</f>
        <v>1839.4098668627</v>
      </c>
      <c r="K11" s="108" t="s">
        <v>556</v>
      </c>
    </row>
    <row r="12" customFormat="false" ht="15.75" hidden="false" customHeight="true" outlineLevel="0" collapsed="false">
      <c r="A12" s="103" t="s">
        <v>451</v>
      </c>
      <c r="B12" s="10" t="s">
        <v>452</v>
      </c>
      <c r="C12" s="104" t="n">
        <f aca="false">'03 KV-Vergleich Detail'!C100</f>
        <v>700000</v>
      </c>
      <c r="D12" s="105" t="n">
        <f aca="false">C12/$C$15</f>
        <v>0.00921052631578947</v>
      </c>
      <c r="E12" s="104" t="n">
        <f aca="false">'03 KV-Vergleich Detail'!E100</f>
        <v>700000</v>
      </c>
      <c r="F12" s="105" t="n">
        <f aca="false">E12/$E$15</f>
        <v>0.00929173238908094</v>
      </c>
      <c r="G12" s="106" t="n">
        <f aca="false">E12-C12</f>
        <v>0</v>
      </c>
      <c r="H12" s="107" t="n">
        <f aca="false">E12/C12-1</f>
        <v>0</v>
      </c>
      <c r="I12" s="89" t="n">
        <f aca="false">C12/'02 Annahmen'!C18</f>
        <v>28.587764436821</v>
      </c>
      <c r="J12" s="89" t="n">
        <f aca="false">E12/'02 Annahmen'!C18</f>
        <v>28.587764436821</v>
      </c>
      <c r="K12" s="108" t="s">
        <v>557</v>
      </c>
    </row>
    <row r="13" customFormat="false" ht="15.75" hidden="false" customHeight="true" outlineLevel="0" collapsed="false">
      <c r="A13" s="103" t="s">
        <v>466</v>
      </c>
      <c r="B13" s="10" t="s">
        <v>467</v>
      </c>
      <c r="C13" s="104" t="n">
        <f aca="false">'03 KV-Vergleich Detail'!C107</f>
        <v>3540000</v>
      </c>
      <c r="D13" s="105" t="n">
        <f aca="false">C13/$C$15</f>
        <v>0.0465789473684211</v>
      </c>
      <c r="E13" s="104" t="n">
        <f aca="false">'03 KV-Vergleich Detail'!E107</f>
        <v>3540000</v>
      </c>
      <c r="F13" s="105" t="n">
        <f aca="false">E13/$E$15</f>
        <v>0.0469896180819236</v>
      </c>
      <c r="G13" s="106" t="n">
        <f aca="false">E13-C13</f>
        <v>0</v>
      </c>
      <c r="H13" s="107" t="n">
        <f aca="false">E13/C13-1</f>
        <v>0</v>
      </c>
      <c r="I13" s="89" t="n">
        <f aca="false">C13/'02 Annahmen'!C18</f>
        <v>144.572408723352</v>
      </c>
      <c r="J13" s="89" t="n">
        <f aca="false">E13/'02 Annahmen'!C18</f>
        <v>144.572408723352</v>
      </c>
      <c r="K13" s="108" t="s">
        <v>558</v>
      </c>
    </row>
    <row r="14" customFormat="false" ht="15.75" hidden="false" customHeight="true" outlineLevel="0" collapsed="false">
      <c r="A14" s="103" t="s">
        <v>527</v>
      </c>
      <c r="B14" s="10" t="s">
        <v>528</v>
      </c>
      <c r="C14" s="104" t="n">
        <f aca="false">'03 KV-Vergleich Detail'!C136</f>
        <v>3556000</v>
      </c>
      <c r="D14" s="105" t="n">
        <f aca="false">C14/$C$15</f>
        <v>0.0467894736842105</v>
      </c>
      <c r="E14" s="104" t="n">
        <f aca="false">'03 KV-Vergleich Detail'!E136</f>
        <v>3556000</v>
      </c>
      <c r="F14" s="105" t="n">
        <f aca="false">E14/$E$15</f>
        <v>0.0472020005365312</v>
      </c>
      <c r="G14" s="106" t="n">
        <f aca="false">E14-C14</f>
        <v>0</v>
      </c>
      <c r="H14" s="107" t="n">
        <f aca="false">E14/C14-1</f>
        <v>0</v>
      </c>
      <c r="I14" s="89" t="n">
        <f aca="false">C14/'02 Annahmen'!C18</f>
        <v>145.225843339051</v>
      </c>
      <c r="J14" s="89" t="n">
        <f aca="false">E14/'02 Annahmen'!C18</f>
        <v>145.225843339051</v>
      </c>
      <c r="K14" s="108" t="s">
        <v>559</v>
      </c>
    </row>
    <row r="15" customFormat="false" ht="21.75" hidden="false" customHeight="true" outlineLevel="0" collapsed="false">
      <c r="A15" s="93" t="s">
        <v>539</v>
      </c>
      <c r="B15" s="94" t="s">
        <v>540</v>
      </c>
      <c r="C15" s="95" t="n">
        <f aca="false">SUM(C9:C14)</f>
        <v>76000000</v>
      </c>
      <c r="D15" s="96" t="n">
        <f aca="false">C15/C15</f>
        <v>1</v>
      </c>
      <c r="E15" s="95" t="n">
        <f aca="false">SUM(E9:E14)</f>
        <v>75335790</v>
      </c>
      <c r="F15" s="96" t="n">
        <f aca="false">E15/E15</f>
        <v>1</v>
      </c>
      <c r="G15" s="97" t="n">
        <f aca="false">E15-C15</f>
        <v>-664210</v>
      </c>
      <c r="H15" s="98" t="n">
        <f aca="false">E15/C15-1</f>
        <v>-0.00873960526315787</v>
      </c>
      <c r="I15" s="109" t="n">
        <f aca="false">C15/'02 Annahmen'!C18</f>
        <v>3103.81442456914</v>
      </c>
      <c r="J15" s="109" t="n">
        <f aca="false">E15/'02 Annahmen'!C18</f>
        <v>3076.68831168831</v>
      </c>
      <c r="K15" s="99"/>
    </row>
    <row r="17" customFormat="false" ht="15" hidden="false" customHeight="false" outlineLevel="0" collapsed="false">
      <c r="B17" s="110" t="s">
        <v>560</v>
      </c>
      <c r="C17" s="59" t="n">
        <f aca="false">C15-C9</f>
        <v>61000000</v>
      </c>
      <c r="E17" s="59" t="n">
        <f aca="false">E15-E9</f>
        <v>60335790</v>
      </c>
      <c r="G17" s="111" t="n">
        <f aca="false">E17-C17</f>
        <v>-664210</v>
      </c>
      <c r="H17" s="112" t="n">
        <f aca="false">E17/C17-1</f>
        <v>-0.0108886885245901</v>
      </c>
      <c r="I17" s="61" t="n">
        <f aca="false">C17/'02 Annahmen'!C18</f>
        <v>2491.21947235155</v>
      </c>
      <c r="J17" s="61" t="n">
        <f aca="false">E17/'02 Annahmen'!C18</f>
        <v>2464.09335947072</v>
      </c>
      <c r="K17" s="14" t="s">
        <v>561</v>
      </c>
    </row>
    <row r="18" customFormat="false" ht="15" hidden="false" customHeight="false" outlineLevel="0" collapsed="false">
      <c r="B18" s="110" t="s">
        <v>562</v>
      </c>
      <c r="C18" s="113" t="n">
        <f aca="false">'03 KV-Vergleich Detail'!C19/'02 Annahmen'!C20</f>
        <v>652.914285714286</v>
      </c>
      <c r="E18" s="113" t="n">
        <f aca="false">'03 KV-Vergleich Detail'!E19/'02 Annahmen'!C20</f>
        <v>643.425571428571</v>
      </c>
      <c r="K18" s="14" t="s">
        <v>563</v>
      </c>
    </row>
    <row r="20" customFormat="false" ht="18" hidden="false" customHeight="true" outlineLevel="0" collapsed="false">
      <c r="A20" s="7" t="s">
        <v>564</v>
      </c>
      <c r="B20" s="8"/>
      <c r="C20" s="8"/>
      <c r="D20" s="8"/>
      <c r="E20" s="8"/>
      <c r="F20" s="8"/>
      <c r="G20" s="8"/>
      <c r="H20" s="8"/>
      <c r="I20" s="8"/>
      <c r="J20" s="8"/>
      <c r="K20" s="8"/>
    </row>
    <row r="21" customFormat="false" ht="30" hidden="false" customHeight="true" outlineLevel="0" collapsed="false">
      <c r="A21" s="39" t="s">
        <v>237</v>
      </c>
      <c r="B21" s="39" t="s">
        <v>565</v>
      </c>
      <c r="C21" s="39" t="s">
        <v>547</v>
      </c>
      <c r="D21" s="39" t="s">
        <v>566</v>
      </c>
      <c r="E21" s="39" t="s">
        <v>548</v>
      </c>
      <c r="F21" s="39" t="s">
        <v>566</v>
      </c>
      <c r="G21" s="39" t="s">
        <v>549</v>
      </c>
      <c r="H21" s="39" t="s">
        <v>243</v>
      </c>
      <c r="I21" s="39"/>
      <c r="J21" s="39"/>
      <c r="K21" s="39" t="s">
        <v>244</v>
      </c>
    </row>
    <row r="22" customFormat="false" ht="13.5" hidden="false" customHeight="true" outlineLevel="0" collapsed="false">
      <c r="A22" s="79" t="s">
        <v>280</v>
      </c>
      <c r="B22" s="114" t="s">
        <v>567</v>
      </c>
      <c r="C22" s="115" t="n">
        <f aca="false">'03 KV-Vergleich Detail'!C20</f>
        <v>0</v>
      </c>
      <c r="D22" s="116" t="n">
        <f aca="false">IFERROR(C22/$C$32,0)</f>
        <v>0</v>
      </c>
      <c r="E22" s="115" t="n">
        <f aca="false">'03 KV-Vergleich Detail'!E20</f>
        <v>37600000</v>
      </c>
      <c r="F22" s="116" t="n">
        <f aca="false">IFERROR(E22/$E$32,0)</f>
        <v>0.834817391466523</v>
      </c>
      <c r="G22" s="117" t="n">
        <f aca="false">E22-C22</f>
        <v>37600000</v>
      </c>
      <c r="H22" s="84" t="str">
        <f aca="false">IF(C22=0,"",E22/C22-1)</f>
        <v/>
      </c>
      <c r="I22" s="40"/>
      <c r="J22" s="40"/>
      <c r="K22" s="118" t="s">
        <v>282</v>
      </c>
    </row>
    <row r="23" customFormat="false" ht="13.5" hidden="false" customHeight="true" outlineLevel="0" collapsed="false">
      <c r="A23" s="79" t="s">
        <v>284</v>
      </c>
      <c r="B23" s="114" t="s">
        <v>285</v>
      </c>
      <c r="C23" s="115" t="n">
        <f aca="false">'03 KV-Vergleich Detail'!C21</f>
        <v>15107000</v>
      </c>
      <c r="D23" s="116" t="n">
        <f aca="false">IFERROR(C23/$C$32,0)</f>
        <v>0.330539996499212</v>
      </c>
      <c r="E23" s="115" t="n">
        <f aca="false">'03 KV-Vergleich Detail'!E21</f>
        <v>555000</v>
      </c>
      <c r="F23" s="116" t="n">
        <f aca="false">IFERROR(E23/$E$32,0)</f>
        <v>0.0123224375602106</v>
      </c>
      <c r="G23" s="117" t="n">
        <f aca="false">E23-C23</f>
        <v>-14552000</v>
      </c>
      <c r="H23" s="84" t="n">
        <f aca="false">IF(C23=0,"",E23/C23-1)</f>
        <v>-0.963262063943867</v>
      </c>
      <c r="I23" s="40"/>
      <c r="J23" s="40"/>
      <c r="K23" s="118" t="s">
        <v>282</v>
      </c>
    </row>
    <row r="24" customFormat="false" ht="13.5" hidden="false" customHeight="true" outlineLevel="0" collapsed="false">
      <c r="A24" s="79" t="s">
        <v>303</v>
      </c>
      <c r="B24" s="114" t="s">
        <v>304</v>
      </c>
      <c r="C24" s="115" t="n">
        <f aca="false">'03 KV-Vergleich Detail'!C30</f>
        <v>8083980</v>
      </c>
      <c r="D24" s="116" t="n">
        <f aca="false">IFERROR(C24/$C$32,0)</f>
        <v>0.176876859793454</v>
      </c>
      <c r="E24" s="115" t="n">
        <f aca="false">'03 KV-Vergleich Detail'!E30</f>
        <v>0</v>
      </c>
      <c r="F24" s="116" t="n">
        <f aca="false">IFERROR(E24/$E$32,0)</f>
        <v>0</v>
      </c>
      <c r="G24" s="117" t="n">
        <f aca="false">E24-C24</f>
        <v>-8083980</v>
      </c>
      <c r="H24" s="84" t="n">
        <f aca="false">IF(C24=0,"",E24/C24-1)</f>
        <v>-1</v>
      </c>
      <c r="I24" s="40"/>
      <c r="J24" s="40"/>
      <c r="K24" s="118" t="s">
        <v>282</v>
      </c>
    </row>
    <row r="25" customFormat="false" ht="13.5" hidden="false" customHeight="true" outlineLevel="0" collapsed="false">
      <c r="A25" s="79" t="s">
        <v>336</v>
      </c>
      <c r="B25" s="114" t="s">
        <v>337</v>
      </c>
      <c r="C25" s="115" t="n">
        <f aca="false">'03 KV-Vergleich Detail'!C46</f>
        <v>4250000</v>
      </c>
      <c r="D25" s="116" t="n">
        <f aca="false">IFERROR(C25/$C$32,0)</f>
        <v>0.0929896726763522</v>
      </c>
      <c r="E25" s="115" t="n">
        <f aca="false">'03 KV-Vergleich Detail'!E46</f>
        <v>1000000</v>
      </c>
      <c r="F25" s="116" t="n">
        <f aca="false">IFERROR(E25/$E$32,0)</f>
        <v>0.0222025901985777</v>
      </c>
      <c r="G25" s="117" t="n">
        <f aca="false">E25-C25</f>
        <v>-3250000</v>
      </c>
      <c r="H25" s="84" t="n">
        <f aca="false">IF(C25=0,"",E25/C25-1)</f>
        <v>-0.764705882352941</v>
      </c>
      <c r="I25" s="40"/>
      <c r="J25" s="40"/>
      <c r="K25" s="118" t="s">
        <v>282</v>
      </c>
    </row>
    <row r="26" customFormat="false" ht="13.5" hidden="false" customHeight="true" outlineLevel="0" collapsed="false">
      <c r="A26" s="79" t="s">
        <v>345</v>
      </c>
      <c r="B26" s="114" t="s">
        <v>346</v>
      </c>
      <c r="C26" s="115" t="n">
        <f aca="false">'03 KV-Vergleich Detail'!C50</f>
        <v>2770000</v>
      </c>
      <c r="D26" s="116" t="n">
        <f aca="false">IFERROR(C26/$C$32,0)</f>
        <v>0.060607386661999</v>
      </c>
      <c r="E26" s="115" t="n">
        <f aca="false">'03 KV-Vergleich Detail'!E50</f>
        <v>0</v>
      </c>
      <c r="F26" s="116" t="n">
        <f aca="false">IFERROR(E26/$E$32,0)</f>
        <v>0</v>
      </c>
      <c r="G26" s="117" t="n">
        <f aca="false">E26-C26</f>
        <v>-2770000</v>
      </c>
      <c r="H26" s="84" t="n">
        <f aca="false">IF(C26=0,"",E26/C26-1)</f>
        <v>-1</v>
      </c>
      <c r="I26" s="40"/>
      <c r="J26" s="40"/>
      <c r="K26" s="118" t="s">
        <v>282</v>
      </c>
    </row>
    <row r="27" customFormat="false" ht="13.5" hidden="false" customHeight="true" outlineLevel="0" collapsed="false">
      <c r="A27" s="79" t="s">
        <v>355</v>
      </c>
      <c r="B27" s="114" t="s">
        <v>356</v>
      </c>
      <c r="C27" s="115" t="n">
        <f aca="false">'03 KV-Vergleich Detail'!C55</f>
        <v>3380000</v>
      </c>
      <c r="D27" s="116" t="n">
        <f aca="false">IFERROR(C27/$C$32,0)</f>
        <v>0.0739541396814283</v>
      </c>
      <c r="E27" s="115" t="n">
        <f aca="false">'03 KV-Vergleich Detail'!E55</f>
        <v>0</v>
      </c>
      <c r="F27" s="116" t="n">
        <f aca="false">IFERROR(E27/$E$32,0)</f>
        <v>0</v>
      </c>
      <c r="G27" s="117" t="n">
        <f aca="false">E27-C27</f>
        <v>-3380000</v>
      </c>
      <c r="H27" s="84" t="n">
        <f aca="false">IF(C27=0,"",E27/C27-1)</f>
        <v>-1</v>
      </c>
      <c r="I27" s="40"/>
      <c r="J27" s="40"/>
      <c r="K27" s="118" t="s">
        <v>282</v>
      </c>
    </row>
    <row r="28" customFormat="false" ht="13.5" hidden="false" customHeight="true" outlineLevel="0" collapsed="false">
      <c r="A28" s="79" t="s">
        <v>363</v>
      </c>
      <c r="B28" s="114" t="s">
        <v>364</v>
      </c>
      <c r="C28" s="115" t="n">
        <f aca="false">'03 KV-Vergleich Detail'!C59</f>
        <v>768000</v>
      </c>
      <c r="D28" s="116" t="n">
        <f aca="false">IFERROR(C28/$C$32,0)</f>
        <v>0.0168037808506914</v>
      </c>
      <c r="E28" s="115" t="n">
        <f aca="false">'03 KV-Vergleich Detail'!E59</f>
        <v>0</v>
      </c>
      <c r="F28" s="116" t="n">
        <f aca="false">IFERROR(E28/$E$32,0)</f>
        <v>0</v>
      </c>
      <c r="G28" s="117" t="n">
        <f aca="false">E28-C28</f>
        <v>-768000</v>
      </c>
      <c r="H28" s="84" t="n">
        <f aca="false">IF(C28=0,"",E28/C28-1)</f>
        <v>-1</v>
      </c>
      <c r="I28" s="40"/>
      <c r="J28" s="40"/>
      <c r="K28" s="118" t="s">
        <v>282</v>
      </c>
    </row>
    <row r="29" customFormat="false" ht="13.5" hidden="false" customHeight="true" outlineLevel="0" collapsed="false">
      <c r="A29" s="79" t="s">
        <v>367</v>
      </c>
      <c r="B29" s="114" t="s">
        <v>368</v>
      </c>
      <c r="C29" s="115" t="n">
        <f aca="false">'03 KV-Vergleich Detail'!C61</f>
        <v>1769110</v>
      </c>
      <c r="D29" s="116" t="n">
        <f aca="false">IFERROR(C29/$C$32,0)</f>
        <v>0.0387079905478733</v>
      </c>
      <c r="E29" s="115" t="n">
        <f aca="false">'03 KV-Vergleich Detail'!E61</f>
        <v>0</v>
      </c>
      <c r="F29" s="116" t="n">
        <f aca="false">IFERROR(E29/$E$32,0)</f>
        <v>0</v>
      </c>
      <c r="G29" s="117" t="n">
        <f aca="false">E29-C29</f>
        <v>-1769110</v>
      </c>
      <c r="H29" s="84" t="n">
        <f aca="false">IF(C29=0,"",E29/C29-1)</f>
        <v>-1</v>
      </c>
      <c r="I29" s="40"/>
      <c r="J29" s="40"/>
      <c r="K29" s="118" t="s">
        <v>282</v>
      </c>
    </row>
    <row r="30" customFormat="false" ht="13.5" hidden="false" customHeight="true" outlineLevel="0" collapsed="false">
      <c r="A30" s="79" t="s">
        <v>397</v>
      </c>
      <c r="B30" s="114" t="s">
        <v>398</v>
      </c>
      <c r="C30" s="115" t="n">
        <f aca="false">'03 KV-Vergleich Detail'!C76</f>
        <v>1998620</v>
      </c>
      <c r="D30" s="116" t="n">
        <f aca="false">IFERROR(C30/$C$32,0)</f>
        <v>0.0437296516716261</v>
      </c>
      <c r="E30" s="115" t="n">
        <f aca="false">'03 KV-Vergleich Detail'!E76</f>
        <v>0</v>
      </c>
      <c r="F30" s="116" t="n">
        <f aca="false">IFERROR(E30/$E$32,0)</f>
        <v>0</v>
      </c>
      <c r="G30" s="117" t="n">
        <f aca="false">E30-C30</f>
        <v>-1998620</v>
      </c>
      <c r="H30" s="84" t="n">
        <f aca="false">IF(C30=0,"",E30/C30-1)</f>
        <v>-1</v>
      </c>
      <c r="I30" s="40"/>
      <c r="J30" s="40"/>
      <c r="K30" s="118" t="s">
        <v>282</v>
      </c>
    </row>
    <row r="31" customFormat="false" ht="13.5" hidden="false" customHeight="true" outlineLevel="0" collapsed="false">
      <c r="A31" s="79" t="s">
        <v>423</v>
      </c>
      <c r="B31" s="114" t="s">
        <v>424</v>
      </c>
      <c r="C31" s="115" t="n">
        <f aca="false">'03 KV-Vergleich Detail'!C89</f>
        <v>7577290</v>
      </c>
      <c r="D31" s="116" t="n">
        <f aca="false">IFERROR(C31/$C$32,0)</f>
        <v>0.165790521617364</v>
      </c>
      <c r="E31" s="115" t="n">
        <f aca="false">'03 KV-Vergleich Detail'!E89</f>
        <v>5884790</v>
      </c>
      <c r="F31" s="116" t="n">
        <f aca="false">IFERROR(E31/$E$32,0)</f>
        <v>0.130657580774688</v>
      </c>
      <c r="G31" s="117" t="n">
        <f aca="false">E31-C31</f>
        <v>-1692500</v>
      </c>
      <c r="H31" s="84" t="n">
        <f aca="false">IF(C31=0,"",E31/C31-1)</f>
        <v>-0.223364817764663</v>
      </c>
      <c r="I31" s="40"/>
      <c r="J31" s="40"/>
      <c r="K31" s="119" t="s">
        <v>425</v>
      </c>
    </row>
    <row r="32" customFormat="false" ht="15" hidden="false" customHeight="false" outlineLevel="0" collapsed="false">
      <c r="A32" s="120" t="s">
        <v>276</v>
      </c>
      <c r="B32" s="121" t="s">
        <v>568</v>
      </c>
      <c r="C32" s="122" t="n">
        <f aca="false">SUM(C22:C31)</f>
        <v>45704000</v>
      </c>
      <c r="D32" s="123" t="n">
        <f aca="false">C32/C32</f>
        <v>1</v>
      </c>
      <c r="E32" s="122" t="n">
        <f aca="false">SUM(E22:E31)</f>
        <v>45039790</v>
      </c>
      <c r="F32" s="123" t="n">
        <f aca="false">E32/E32</f>
        <v>1</v>
      </c>
      <c r="G32" s="124" t="n">
        <f aca="false">E32-C32</f>
        <v>-664210</v>
      </c>
      <c r="H32" s="125" t="n">
        <f aca="false">E32/C32-1</f>
        <v>-0.0145328636443199</v>
      </c>
      <c r="I32" s="126"/>
      <c r="J32" s="126"/>
      <c r="K32" s="126"/>
    </row>
  </sheetData>
  <conditionalFormatting sqref="G9:G14">
    <cfRule type="colorScale" priority="2">
      <colorScale>
        <cfvo type="min" val="0"/>
        <cfvo type="num" val="0"/>
        <cfvo type="max" val="0"/>
        <color rgb="FFEDF3DA"/>
        <color rgb="FFFFFFFF"/>
        <color rgb="FFF8EFD4"/>
      </colorScale>
    </cfRule>
  </conditionalFormatting>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18726"/>
    <pageSetUpPr fitToPage="true"/>
  </sheetPr>
  <dimension ref="A1:J6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46"/>
    <col collapsed="false" customWidth="true" hidden="false" outlineLevel="0" max="5" min="3" style="0" width="16"/>
    <col collapsed="false" customWidth="true" hidden="false" outlineLevel="0" max="8" min="6" style="0" width="12"/>
    <col collapsed="false" customWidth="true" hidden="false" outlineLevel="0" max="10" min="9" style="0" width="4"/>
  </cols>
  <sheetData>
    <row r="1" customFormat="false" ht="13.5" hidden="false" customHeight="true" outlineLevel="0" collapsed="false">
      <c r="A1" s="1" t="s">
        <v>0</v>
      </c>
      <c r="B1" s="2"/>
      <c r="C1" s="2"/>
      <c r="D1" s="2"/>
      <c r="E1" s="2"/>
      <c r="F1" s="2"/>
      <c r="G1" s="2"/>
      <c r="H1" s="2"/>
      <c r="I1" s="2"/>
      <c r="J1" s="2"/>
    </row>
    <row r="2" customFormat="false" ht="24" hidden="false" customHeight="true" outlineLevel="0" collapsed="false">
      <c r="A2" s="3" t="s">
        <v>569</v>
      </c>
      <c r="B2" s="2"/>
      <c r="C2" s="2"/>
      <c r="D2" s="2"/>
      <c r="E2" s="2"/>
      <c r="F2" s="2"/>
      <c r="G2" s="2"/>
      <c r="H2" s="2"/>
      <c r="I2" s="2"/>
      <c r="J2" s="2"/>
    </row>
    <row r="3" customFormat="false" ht="15.75" hidden="false" customHeight="true" outlineLevel="0" collapsed="false">
      <c r="A3" s="4" t="s">
        <v>570</v>
      </c>
      <c r="B3" s="2"/>
      <c r="C3" s="2"/>
      <c r="D3" s="2"/>
      <c r="E3" s="2"/>
      <c r="F3" s="2"/>
      <c r="G3" s="2"/>
      <c r="H3" s="2"/>
      <c r="I3" s="2"/>
      <c r="J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571</v>
      </c>
      <c r="B7" s="8"/>
      <c r="C7" s="8"/>
      <c r="D7" s="8"/>
      <c r="E7" s="8"/>
      <c r="F7" s="8"/>
      <c r="G7" s="8"/>
      <c r="H7" s="8"/>
      <c r="I7" s="8"/>
      <c r="J7" s="8"/>
    </row>
    <row r="8" customFormat="false" ht="30" hidden="false" customHeight="true" outlineLevel="0" collapsed="false">
      <c r="A8" s="39"/>
      <c r="B8" s="39" t="s">
        <v>572</v>
      </c>
      <c r="C8" s="39" t="s">
        <v>573</v>
      </c>
      <c r="D8" s="39" t="s">
        <v>574</v>
      </c>
      <c r="E8" s="39" t="s">
        <v>575</v>
      </c>
      <c r="F8" s="39" t="s">
        <v>576</v>
      </c>
      <c r="G8" s="39" t="s">
        <v>577</v>
      </c>
      <c r="H8" s="39" t="s">
        <v>578</v>
      </c>
    </row>
    <row r="9" customFormat="false" ht="15.75" hidden="false" customHeight="true" outlineLevel="0" collapsed="false">
      <c r="B9" s="127" t="s">
        <v>579</v>
      </c>
      <c r="C9" s="66" t="n">
        <f aca="false">'04 Vergleich Hauptgruppen'!C15</f>
        <v>76000000</v>
      </c>
      <c r="D9" s="128" t="n">
        <f aca="false">C9</f>
        <v>76000000</v>
      </c>
      <c r="E9" s="129" t="n">
        <v>0</v>
      </c>
      <c r="F9" s="129" t="n">
        <f aca="false">IF(AND(9&gt;9,9&lt;12),MAX(0,C9),0)</f>
        <v>0</v>
      </c>
      <c r="G9" s="129" t="n">
        <f aca="false">IF(AND(9&gt;9,9&lt;12),MAX(0,-C9),0)</f>
        <v>0</v>
      </c>
      <c r="H9" s="129" t="n">
        <f aca="false">IF(OR(9=9,9=12),C9,0)</f>
        <v>76000000</v>
      </c>
    </row>
    <row r="10" customFormat="false" ht="15.75" hidden="false" customHeight="true" outlineLevel="0" collapsed="false">
      <c r="B10" s="114" t="s">
        <v>580</v>
      </c>
      <c r="C10" s="117" t="n">
        <f aca="false">'04 Vergleich Hauptgruppen'!E31-'04 Vergleich Hauptgruppen'!C31</f>
        <v>-1692500</v>
      </c>
      <c r="D10" s="130" t="n">
        <f aca="false">D9+C10</f>
        <v>74307500</v>
      </c>
      <c r="E10" s="129" t="n">
        <f aca="false">MIN(D9,D10)</f>
        <v>74307500</v>
      </c>
      <c r="F10" s="129" t="n">
        <f aca="false">IF(AND(10&gt;9,10&lt;12),MAX(0,C10),0)</f>
        <v>0</v>
      </c>
      <c r="G10" s="129" t="n">
        <f aca="false">IF(AND(10&gt;9,10&lt;12),MAX(0,-C10),0)</f>
        <v>1692500</v>
      </c>
      <c r="H10" s="129" t="n">
        <f aca="false">IF(OR(10=9,10=12),C10,0)</f>
        <v>0</v>
      </c>
    </row>
    <row r="11" customFormat="false" ht="15.75" hidden="false" customHeight="true" outlineLevel="0" collapsed="false">
      <c r="B11" s="114" t="s">
        <v>581</v>
      </c>
      <c r="C11" s="117" t="n">
        <f aca="false">('04 Vergleich Hauptgruppen'!E32-'04 Vergleich Hauptgruppen'!E31)-('04 Vergleich Hauptgruppen'!C32-'04 Vergleich Hauptgruppen'!C31)</f>
        <v>1028290</v>
      </c>
      <c r="D11" s="130" t="n">
        <f aca="false">D10+C11</f>
        <v>75335790</v>
      </c>
      <c r="E11" s="129" t="n">
        <f aca="false">MIN(D10,D11)</f>
        <v>74307500</v>
      </c>
      <c r="F11" s="129" t="n">
        <f aca="false">IF(AND(11&gt;9,11&lt;12),MAX(0,C11),0)</f>
        <v>1028290</v>
      </c>
      <c r="G11" s="129" t="n">
        <f aca="false">IF(AND(11&gt;9,11&lt;12),MAX(0,-C11),0)</f>
        <v>0</v>
      </c>
      <c r="H11" s="129" t="n">
        <f aca="false">IF(OR(11=9,11=12),C11,0)</f>
        <v>0</v>
      </c>
    </row>
    <row r="12" customFormat="false" ht="15.75" hidden="false" customHeight="true" outlineLevel="0" collapsed="false">
      <c r="B12" s="127" t="s">
        <v>582</v>
      </c>
      <c r="C12" s="66" t="n">
        <f aca="false">'04 Vergleich Hauptgruppen'!E15</f>
        <v>75335790</v>
      </c>
      <c r="D12" s="128" t="n">
        <f aca="false">C12</f>
        <v>75335790</v>
      </c>
      <c r="E12" s="129" t="n">
        <v>0</v>
      </c>
      <c r="F12" s="129" t="n">
        <f aca="false">IF(AND(12&gt;9,12&lt;12),MAX(0,C12),0)</f>
        <v>0</v>
      </c>
      <c r="G12" s="129" t="n">
        <f aca="false">IF(AND(12&gt;9,12&lt;12),MAX(0,-C12),0)</f>
        <v>0</v>
      </c>
      <c r="H12" s="129" t="n">
        <f aca="false">IF(OR(12=9,12=12),C12,0)</f>
        <v>75335790</v>
      </c>
    </row>
    <row r="14" customFormat="false" ht="15" hidden="false" customHeight="false" outlineLevel="0" collapsed="false">
      <c r="B14" s="110" t="s">
        <v>583</v>
      </c>
      <c r="C14" s="111" t="n">
        <f aca="false">C12-C9</f>
        <v>-664210</v>
      </c>
      <c r="D14" s="131" t="n">
        <f aca="false">C14/C9</f>
        <v>-0.00873960526315789</v>
      </c>
    </row>
    <row r="36" customFormat="false" ht="18" hidden="false" customHeight="true" outlineLevel="0" collapsed="false">
      <c r="A36" s="7" t="s">
        <v>584</v>
      </c>
      <c r="B36" s="8"/>
      <c r="C36" s="8"/>
      <c r="D36" s="8"/>
      <c r="E36" s="8"/>
      <c r="F36" s="8"/>
      <c r="G36" s="8"/>
      <c r="H36" s="8"/>
      <c r="I36" s="8"/>
      <c r="J36" s="8"/>
    </row>
    <row r="37" customFormat="false" ht="15.75" hidden="false" customHeight="true" outlineLevel="0" collapsed="false">
      <c r="A37" s="132" t="s">
        <v>268</v>
      </c>
      <c r="B37" s="110" t="s">
        <v>585</v>
      </c>
    </row>
    <row r="38" customFormat="false" ht="24" hidden="false" customHeight="true" outlineLevel="0" collapsed="false">
      <c r="B38" s="13" t="s">
        <v>586</v>
      </c>
      <c r="C38" s="13"/>
      <c r="D38" s="13"/>
      <c r="E38" s="13"/>
      <c r="F38" s="13"/>
      <c r="G38" s="13"/>
      <c r="H38" s="13"/>
    </row>
    <row r="39" customFormat="false" ht="24" hidden="false" customHeight="true" outlineLevel="0" collapsed="false">
      <c r="B39" s="13"/>
      <c r="C39" s="13"/>
      <c r="D39" s="13"/>
      <c r="E39" s="13"/>
      <c r="F39" s="13"/>
      <c r="G39" s="13"/>
      <c r="H39" s="13"/>
    </row>
    <row r="41" customFormat="false" ht="15.75" hidden="false" customHeight="true" outlineLevel="0" collapsed="false">
      <c r="A41" s="132" t="s">
        <v>276</v>
      </c>
      <c r="B41" s="110" t="s">
        <v>587</v>
      </c>
    </row>
    <row r="42" customFormat="false" ht="24" hidden="false" customHeight="true" outlineLevel="0" collapsed="false">
      <c r="B42" s="13" t="s">
        <v>588</v>
      </c>
      <c r="C42" s="13"/>
      <c r="D42" s="13"/>
      <c r="E42" s="13"/>
      <c r="F42" s="13"/>
      <c r="G42" s="13"/>
      <c r="H42" s="13"/>
    </row>
    <row r="43" customFormat="false" ht="24" hidden="false" customHeight="true" outlineLevel="0" collapsed="false">
      <c r="B43" s="13"/>
      <c r="C43" s="13"/>
      <c r="D43" s="13"/>
      <c r="E43" s="13"/>
      <c r="F43" s="13"/>
      <c r="G43" s="13"/>
      <c r="H43" s="13"/>
    </row>
    <row r="45" customFormat="false" ht="15.75" hidden="false" customHeight="true" outlineLevel="0" collapsed="false">
      <c r="A45" s="132" t="s">
        <v>589</v>
      </c>
      <c r="B45" s="110" t="s">
        <v>590</v>
      </c>
    </row>
    <row r="46" customFormat="false" ht="17.25" hidden="false" customHeight="true" outlineLevel="0" collapsed="false">
      <c r="B46" s="13" t="s">
        <v>591</v>
      </c>
      <c r="C46" s="13"/>
      <c r="D46" s="13"/>
      <c r="E46" s="13"/>
      <c r="F46" s="13"/>
      <c r="G46" s="13"/>
      <c r="H46" s="13"/>
    </row>
    <row r="47" customFormat="false" ht="17.25" hidden="false" customHeight="true" outlineLevel="0" collapsed="false">
      <c r="B47" s="13"/>
      <c r="C47" s="13"/>
      <c r="D47" s="13"/>
      <c r="E47" s="13"/>
      <c r="F47" s="13"/>
      <c r="G47" s="13"/>
      <c r="H47" s="13"/>
    </row>
    <row r="49" customFormat="false" ht="15.75" hidden="false" customHeight="true" outlineLevel="0" collapsed="false">
      <c r="A49" s="132" t="s">
        <v>451</v>
      </c>
      <c r="B49" s="110" t="s">
        <v>592</v>
      </c>
    </row>
    <row r="50" customFormat="false" ht="17.25" hidden="false" customHeight="true" outlineLevel="0" collapsed="false">
      <c r="B50" s="13" t="s">
        <v>593</v>
      </c>
      <c r="C50" s="13"/>
      <c r="D50" s="13"/>
      <c r="E50" s="13"/>
      <c r="F50" s="13"/>
      <c r="G50" s="13"/>
      <c r="H50" s="13"/>
    </row>
    <row r="51" customFormat="false" ht="17.25" hidden="false" customHeight="true" outlineLevel="0" collapsed="false">
      <c r="B51" s="13"/>
      <c r="C51" s="13"/>
      <c r="D51" s="13"/>
      <c r="E51" s="13"/>
      <c r="F51" s="13"/>
      <c r="G51" s="13"/>
      <c r="H51" s="13"/>
    </row>
    <row r="53" customFormat="false" ht="15.75" hidden="false" customHeight="true" outlineLevel="0" collapsed="false">
      <c r="A53" s="132" t="s">
        <v>466</v>
      </c>
      <c r="B53" s="110" t="s">
        <v>594</v>
      </c>
    </row>
    <row r="54" customFormat="false" ht="17.25" hidden="false" customHeight="true" outlineLevel="0" collapsed="false">
      <c r="B54" s="13" t="s">
        <v>595</v>
      </c>
      <c r="C54" s="13"/>
      <c r="D54" s="13"/>
      <c r="E54" s="13"/>
      <c r="F54" s="13"/>
      <c r="G54" s="13"/>
      <c r="H54" s="13"/>
    </row>
    <row r="55" customFormat="false" ht="17.25" hidden="false" customHeight="true" outlineLevel="0" collapsed="false">
      <c r="B55" s="13"/>
      <c r="C55" s="13"/>
      <c r="D55" s="13"/>
      <c r="E55" s="13"/>
      <c r="F55" s="13"/>
      <c r="G55" s="13"/>
      <c r="H55" s="13"/>
    </row>
    <row r="57" customFormat="false" ht="18" hidden="false" customHeight="true" outlineLevel="0" collapsed="false">
      <c r="A57" s="7" t="s">
        <v>596</v>
      </c>
      <c r="B57" s="8"/>
      <c r="C57" s="8"/>
      <c r="D57" s="8"/>
      <c r="E57" s="8"/>
      <c r="F57" s="8"/>
      <c r="G57" s="8"/>
      <c r="H57" s="8"/>
      <c r="I57" s="8"/>
      <c r="J57" s="8"/>
    </row>
    <row r="58" customFormat="false" ht="19.5" hidden="false" customHeight="true" outlineLevel="0" collapsed="false">
      <c r="A58" s="39"/>
      <c r="B58" s="39" t="s">
        <v>597</v>
      </c>
      <c r="C58" s="39" t="s">
        <v>598</v>
      </c>
      <c r="D58" s="39"/>
      <c r="E58" s="39"/>
      <c r="F58" s="39"/>
      <c r="G58" s="39"/>
      <c r="H58" s="39"/>
    </row>
    <row r="59" customFormat="false" ht="25.5" hidden="false" customHeight="true" outlineLevel="0" collapsed="false">
      <c r="A59" s="133" t="s">
        <v>599</v>
      </c>
      <c r="B59" s="41" t="s">
        <v>600</v>
      </c>
      <c r="C59" s="43" t="s">
        <v>601</v>
      </c>
      <c r="D59" s="43"/>
      <c r="E59" s="43"/>
      <c r="F59" s="43"/>
      <c r="G59" s="43"/>
      <c r="H59" s="43"/>
    </row>
    <row r="60" customFormat="false" ht="25.5" hidden="false" customHeight="true" outlineLevel="0" collapsed="false">
      <c r="A60" s="133" t="s">
        <v>599</v>
      </c>
      <c r="B60" s="41" t="s">
        <v>602</v>
      </c>
      <c r="C60" s="43" t="s">
        <v>603</v>
      </c>
      <c r="D60" s="43"/>
      <c r="E60" s="43"/>
      <c r="F60" s="43"/>
      <c r="G60" s="43"/>
      <c r="H60" s="43"/>
    </row>
    <row r="61" customFormat="false" ht="25.5" hidden="false" customHeight="true" outlineLevel="0" collapsed="false">
      <c r="A61" s="133" t="s">
        <v>599</v>
      </c>
      <c r="B61" s="41" t="s">
        <v>604</v>
      </c>
      <c r="C61" s="43" t="s">
        <v>605</v>
      </c>
      <c r="D61" s="43"/>
      <c r="E61" s="43"/>
      <c r="F61" s="43"/>
      <c r="G61" s="43"/>
      <c r="H61" s="43"/>
    </row>
    <row r="62" customFormat="false" ht="25.5" hidden="false" customHeight="true" outlineLevel="0" collapsed="false">
      <c r="A62" s="133" t="s">
        <v>599</v>
      </c>
      <c r="B62" s="41" t="s">
        <v>606</v>
      </c>
      <c r="C62" s="43" t="s">
        <v>607</v>
      </c>
      <c r="D62" s="43"/>
      <c r="E62" s="43"/>
      <c r="F62" s="43"/>
      <c r="G62" s="43"/>
      <c r="H62" s="43"/>
    </row>
    <row r="63" customFormat="false" ht="25.5" hidden="false" customHeight="true" outlineLevel="0" collapsed="false">
      <c r="A63" s="133" t="s">
        <v>599</v>
      </c>
      <c r="B63" s="41" t="s">
        <v>608</v>
      </c>
      <c r="C63" s="43" t="s">
        <v>609</v>
      </c>
      <c r="D63" s="43"/>
      <c r="E63" s="43"/>
      <c r="F63" s="43"/>
      <c r="G63" s="43"/>
      <c r="H63" s="43"/>
    </row>
    <row r="64" customFormat="false" ht="25.5" hidden="false" customHeight="true" outlineLevel="0" collapsed="false">
      <c r="A64" s="133" t="s">
        <v>599</v>
      </c>
      <c r="B64" s="41" t="s">
        <v>610</v>
      </c>
      <c r="C64" s="43" t="s">
        <v>611</v>
      </c>
      <c r="D64" s="43"/>
      <c r="E64" s="43"/>
      <c r="F64" s="43"/>
      <c r="G64" s="43"/>
      <c r="H64" s="43"/>
    </row>
    <row r="65" customFormat="false" ht="25.5" hidden="false" customHeight="true" outlineLevel="0" collapsed="false">
      <c r="A65" s="133" t="s">
        <v>599</v>
      </c>
      <c r="B65" s="41" t="s">
        <v>612</v>
      </c>
      <c r="C65" s="43" t="s">
        <v>613</v>
      </c>
      <c r="D65" s="43"/>
      <c r="E65" s="43"/>
      <c r="F65" s="43"/>
      <c r="G65" s="43"/>
      <c r="H65" s="43"/>
    </row>
    <row r="66" customFormat="false" ht="25.5" hidden="false" customHeight="true" outlineLevel="0" collapsed="false">
      <c r="A66" s="133" t="s">
        <v>599</v>
      </c>
      <c r="B66" s="41" t="s">
        <v>614</v>
      </c>
      <c r="C66" s="43" t="s">
        <v>615</v>
      </c>
      <c r="D66" s="43"/>
      <c r="E66" s="43"/>
      <c r="F66" s="43"/>
      <c r="G66" s="43"/>
      <c r="H66" s="43"/>
    </row>
  </sheetData>
  <mergeCells count="13">
    <mergeCell ref="B38:H39"/>
    <mergeCell ref="B42:H43"/>
    <mergeCell ref="B46:H47"/>
    <mergeCell ref="B50:H51"/>
    <mergeCell ref="B54:H55"/>
    <mergeCell ref="C59:H59"/>
    <mergeCell ref="C60:H60"/>
    <mergeCell ref="C61:H61"/>
    <mergeCell ref="C62:H62"/>
    <mergeCell ref="C63:H63"/>
    <mergeCell ref="C64:H64"/>
    <mergeCell ref="C65:H65"/>
    <mergeCell ref="C66:H66"/>
  </mergeCells>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D603E"/>
    <pageSetUpPr fitToPage="true"/>
  </sheetPr>
  <dimension ref="A1:K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8" topLeftCell="D9" activePane="bottomRight" state="frozen"/>
      <selection pane="topLeft" activeCell="A1" activeCellId="0" sqref="A1"/>
      <selection pane="topRight" activeCell="D1" activeCellId="0" sqref="D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44"/>
    <col collapsed="false" customWidth="true" hidden="false" outlineLevel="0" max="3" min="3" style="0" width="12"/>
    <col collapsed="false" customWidth="true" hidden="false" outlineLevel="0" max="5" min="4" style="0" width="14"/>
    <col collapsed="false" customWidth="true" hidden="false" outlineLevel="0" max="7" min="6" style="0" width="12"/>
    <col collapsed="false" customWidth="true" hidden="false" outlineLevel="0" max="9" min="8" style="0" width="20"/>
    <col collapsed="false" customWidth="true" hidden="false" outlineLevel="0" max="10" min="10" style="0" width="52"/>
    <col collapsed="false" customWidth="true" hidden="false" outlineLevel="0" max="11" min="11" style="0" width="4"/>
  </cols>
  <sheetData>
    <row r="1" customFormat="false" ht="13.5" hidden="false" customHeight="true" outlineLevel="0" collapsed="false">
      <c r="A1" s="1" t="s">
        <v>0</v>
      </c>
      <c r="B1" s="2"/>
      <c r="C1" s="2"/>
      <c r="D1" s="2"/>
      <c r="E1" s="2"/>
      <c r="F1" s="2"/>
      <c r="G1" s="2"/>
      <c r="H1" s="2"/>
      <c r="I1" s="2"/>
      <c r="J1" s="2"/>
      <c r="K1" s="2"/>
    </row>
    <row r="2" customFormat="false" ht="24" hidden="false" customHeight="true" outlineLevel="0" collapsed="false">
      <c r="A2" s="3" t="s">
        <v>616</v>
      </c>
      <c r="B2" s="2"/>
      <c r="C2" s="2"/>
      <c r="D2" s="2"/>
      <c r="E2" s="2"/>
      <c r="F2" s="2"/>
      <c r="G2" s="2"/>
      <c r="H2" s="2"/>
      <c r="I2" s="2"/>
      <c r="J2" s="2"/>
      <c r="K2" s="2"/>
    </row>
    <row r="3" customFormat="false" ht="15.75" hidden="false" customHeight="true" outlineLevel="0" collapsed="false">
      <c r="A3" s="4" t="s">
        <v>617</v>
      </c>
      <c r="B3" s="2"/>
      <c r="C3" s="2"/>
      <c r="D3" s="2"/>
      <c r="E3" s="2"/>
      <c r="F3" s="2"/>
      <c r="G3" s="2"/>
      <c r="H3" s="2"/>
      <c r="I3" s="2"/>
      <c r="J3" s="2"/>
      <c r="K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618</v>
      </c>
      <c r="B7" s="8"/>
      <c r="C7" s="8"/>
      <c r="D7" s="8"/>
      <c r="E7" s="8"/>
      <c r="F7" s="8"/>
      <c r="G7" s="8"/>
      <c r="H7" s="8"/>
      <c r="I7" s="8"/>
      <c r="J7" s="8"/>
      <c r="K7" s="8"/>
    </row>
    <row r="8" customFormat="false" ht="33.75" hidden="false" customHeight="true" outlineLevel="0" collapsed="false">
      <c r="A8" s="39"/>
      <c r="B8" s="39" t="s">
        <v>619</v>
      </c>
      <c r="C8" s="39" t="s">
        <v>620</v>
      </c>
      <c r="D8" s="39" t="s">
        <v>621</v>
      </c>
      <c r="E8" s="39" t="s">
        <v>622</v>
      </c>
      <c r="F8" s="39" t="s">
        <v>623</v>
      </c>
      <c r="G8" s="39" t="s">
        <v>624</v>
      </c>
      <c r="H8" s="39" t="s">
        <v>625</v>
      </c>
      <c r="I8" s="39" t="s">
        <v>626</v>
      </c>
      <c r="J8" s="39" t="s">
        <v>627</v>
      </c>
      <c r="K8" s="39"/>
    </row>
    <row r="9" customFormat="false" ht="15" hidden="false" customHeight="true" outlineLevel="0" collapsed="false">
      <c r="A9" s="134" t="n">
        <v>1</v>
      </c>
      <c r="B9" s="114" t="s">
        <v>628</v>
      </c>
      <c r="C9" s="134" t="s">
        <v>629</v>
      </c>
      <c r="D9" s="135" t="n">
        <f aca="false">'04 Vergleich Hauptgruppen'!C15/'02 Annahmen'!C18</f>
        <v>3103.81442456914</v>
      </c>
      <c r="E9" s="89" t="n">
        <f aca="false">'04 Vergleich Hauptgruppen'!E15/'02 Annahmen'!C18</f>
        <v>3076.68831168831</v>
      </c>
      <c r="F9" s="136" t="n">
        <v>2400</v>
      </c>
      <c r="G9" s="136" t="n">
        <v>3600</v>
      </c>
      <c r="H9" s="137" t="str">
        <f aca="false">IF(D9&lt;$F9,"unter Bandbreite",IF(D9&gt;$G9,"über Bandbreite","im Rahmen"))</f>
        <v>im Rahmen</v>
      </c>
      <c r="I9" s="137" t="str">
        <f aca="false">IF(E9&lt;$F9,"unter Bandbreite",IF(E9&gt;$G9,"über Bandbreite","im Rahmen"))</f>
        <v>im Rahmen</v>
      </c>
      <c r="J9" s="108" t="s">
        <v>630</v>
      </c>
    </row>
    <row r="10" customFormat="false" ht="15" hidden="false" customHeight="true" outlineLevel="0" collapsed="false">
      <c r="A10" s="134" t="n">
        <v>2</v>
      </c>
      <c r="B10" s="114" t="s">
        <v>631</v>
      </c>
      <c r="C10" s="134" t="s">
        <v>629</v>
      </c>
      <c r="D10" s="135" t="n">
        <f aca="false">'04 Vergleich Hauptgruppen'!C17/'02 Annahmen'!C18</f>
        <v>2491.21947235155</v>
      </c>
      <c r="E10" s="89" t="n">
        <f aca="false">'04 Vergleich Hauptgruppen'!E17/'02 Annahmen'!C18</f>
        <v>2464.09335947072</v>
      </c>
      <c r="F10" s="136" t="n">
        <v>2000</v>
      </c>
      <c r="G10" s="136" t="n">
        <v>2900</v>
      </c>
      <c r="H10" s="137" t="str">
        <f aca="false">IF(D10&lt;$F10,"unter Bandbreite",IF(D10&gt;$G10,"über Bandbreite","im Rahmen"))</f>
        <v>im Rahmen</v>
      </c>
      <c r="I10" s="137" t="str">
        <f aca="false">IF(E10&lt;$F10,"unter Bandbreite",IF(E10&gt;$G10,"über Bandbreite","im Rahmen"))</f>
        <v>im Rahmen</v>
      </c>
      <c r="J10" s="108" t="s">
        <v>632</v>
      </c>
    </row>
    <row r="11" customFormat="false" ht="15" hidden="false" customHeight="true" outlineLevel="0" collapsed="false">
      <c r="A11" s="134" t="n">
        <v>3</v>
      </c>
      <c r="B11" s="114" t="s">
        <v>633</v>
      </c>
      <c r="C11" s="134" t="s">
        <v>629</v>
      </c>
      <c r="D11" s="135" t="n">
        <f aca="false">'03 KV-Vergleich Detail'!C19/'02 Annahmen'!C18</f>
        <v>1866.53597974353</v>
      </c>
      <c r="E11" s="89" t="n">
        <f aca="false">'03 KV-Vergleich Detail'!E19/'02 Annahmen'!C18</f>
        <v>1839.4098668627</v>
      </c>
      <c r="F11" s="136" t="n">
        <v>1500</v>
      </c>
      <c r="G11" s="136" t="n">
        <v>2300</v>
      </c>
      <c r="H11" s="137" t="str">
        <f aca="false">IF(D11&lt;$F11,"unter Bandbreite",IF(D11&gt;$G11,"über Bandbreite","im Rahmen"))</f>
        <v>im Rahmen</v>
      </c>
      <c r="I11" s="137" t="str">
        <f aca="false">IF(E11&lt;$F11,"unter Bandbreite",IF(E11&gt;$G11,"über Bandbreite","im Rahmen"))</f>
        <v>im Rahmen</v>
      </c>
      <c r="J11" s="108" t="s">
        <v>634</v>
      </c>
    </row>
    <row r="12" customFormat="false" ht="15" hidden="false" customHeight="true" outlineLevel="0" collapsed="false">
      <c r="A12" s="134" t="n">
        <v>4</v>
      </c>
      <c r="B12" s="114" t="s">
        <v>635</v>
      </c>
      <c r="C12" s="134" t="s">
        <v>636</v>
      </c>
      <c r="D12" s="138" t="n">
        <f aca="false">'03 KV-Vergleich Detail'!C19/'02 Annahmen'!C20</f>
        <v>652.914285714286</v>
      </c>
      <c r="E12" s="139" t="n">
        <f aca="false">'03 KV-Vergleich Detail'!E19/'02 Annahmen'!C20</f>
        <v>643.425571428571</v>
      </c>
      <c r="F12" s="140" t="n">
        <v>500</v>
      </c>
      <c r="G12" s="140" t="n">
        <v>750</v>
      </c>
      <c r="H12" s="137" t="str">
        <f aca="false">IF(D12&lt;$F12,"unter Bandbreite",IF(D12&gt;$G12,"über Bandbreite","im Rahmen"))</f>
        <v>im Rahmen</v>
      </c>
      <c r="I12" s="137" t="str">
        <f aca="false">IF(E12&lt;$F12,"unter Bandbreite",IF(E12&gt;$G12,"über Bandbreite","im Rahmen"))</f>
        <v>im Rahmen</v>
      </c>
      <c r="J12" s="108" t="s">
        <v>637</v>
      </c>
    </row>
    <row r="13" customFormat="false" ht="15" hidden="false" customHeight="true" outlineLevel="0" collapsed="false">
      <c r="A13" s="134" t="n">
        <v>5</v>
      </c>
      <c r="B13" s="114" t="s">
        <v>638</v>
      </c>
      <c r="C13" s="134" t="s">
        <v>639</v>
      </c>
      <c r="D13" s="135" t="n">
        <f aca="false">'03 KV-Vergleich Detail'!C8/'02 Annahmen'!C16</f>
        <v>553.138137030755</v>
      </c>
      <c r="E13" s="89" t="n">
        <f aca="false">'03 KV-Vergleich Detail'!E8/'02 Annahmen'!C16</f>
        <v>553.138137030755</v>
      </c>
      <c r="F13" s="136" t="n">
        <v>300</v>
      </c>
      <c r="G13" s="136" t="n">
        <v>700</v>
      </c>
      <c r="H13" s="137" t="str">
        <f aca="false">IF(D13&lt;$F13,"unter Bandbreite",IF(D13&gt;$G13,"über Bandbreite","im Rahmen"))</f>
        <v>im Rahmen</v>
      </c>
      <c r="I13" s="137" t="str">
        <f aca="false">IF(E13&lt;$F13,"unter Bandbreite",IF(E13&gt;$G13,"über Bandbreite","im Rahmen"))</f>
        <v>im Rahmen</v>
      </c>
      <c r="J13" s="108" t="s">
        <v>640</v>
      </c>
    </row>
    <row r="14" customFormat="false" ht="15" hidden="false" customHeight="true" outlineLevel="0" collapsed="false">
      <c r="A14" s="134" t="n">
        <v>6</v>
      </c>
      <c r="B14" s="114" t="s">
        <v>641</v>
      </c>
      <c r="C14" s="134" t="s">
        <v>178</v>
      </c>
      <c r="D14" s="141" t="n">
        <f aca="false">'03 KV-Vergleich Detail'!C8/'04 Vergleich Hauptgruppen'!C15</f>
        <v>0.197368421052632</v>
      </c>
      <c r="E14" s="142" t="n">
        <f aca="false">'03 KV-Vergleich Detail'!E8/'04 Vergleich Hauptgruppen'!E15</f>
        <v>0.199108551194592</v>
      </c>
      <c r="F14" s="143" t="n">
        <v>0.15</v>
      </c>
      <c r="G14" s="143" t="n">
        <v>0.25</v>
      </c>
      <c r="H14" s="137" t="str">
        <f aca="false">IF(D14&lt;$F14,"unter Bandbreite",IF(D14&gt;$G14,"über Bandbreite","im Rahmen"))</f>
        <v>im Rahmen</v>
      </c>
      <c r="I14" s="137" t="str">
        <f aca="false">IF(E14&lt;$F14,"unter Bandbreite",IF(E14&gt;$G14,"über Bandbreite","im Rahmen"))</f>
        <v>im Rahmen</v>
      </c>
      <c r="J14" s="108" t="s">
        <v>642</v>
      </c>
    </row>
    <row r="15" customFormat="false" ht="15" hidden="false" customHeight="true" outlineLevel="0" collapsed="false">
      <c r="A15" s="134" t="n">
        <v>7</v>
      </c>
      <c r="B15" s="114" t="s">
        <v>643</v>
      </c>
      <c r="C15" s="134" t="s">
        <v>178</v>
      </c>
      <c r="D15" s="141" t="n">
        <f aca="false">'03 KV-Vergleich Detail'!C89/('03 KV-Vergleich Detail'!C19-'03 KV-Vergleich Detail'!C89)</f>
        <v>0.198739676200753</v>
      </c>
      <c r="E15" s="142" t="n">
        <f aca="false">'03 KV-Vergleich Detail'!E89/('03 KV-Vergleich Detail'!E19-'03 KV-Vergleich Detail'!E89)</f>
        <v>0.150294726088622</v>
      </c>
      <c r="F15" s="143" t="n">
        <v>0.12</v>
      </c>
      <c r="G15" s="143" t="n">
        <v>0.18</v>
      </c>
      <c r="H15" s="137" t="str">
        <f aca="false">IF(D15&lt;$F15,"unter Bandbreite",IF(D15&gt;$G15,"über Bandbreite","im Rahmen"))</f>
        <v>über Bandbreite</v>
      </c>
      <c r="I15" s="137" t="str">
        <f aca="false">IF(E15&lt;$F15,"unter Bandbreite",IF(E15&gt;$G15,"über Bandbreite","im Rahmen"))</f>
        <v>im Rahmen</v>
      </c>
      <c r="J15" s="108" t="s">
        <v>644</v>
      </c>
    </row>
    <row r="16" customFormat="false" ht="15" hidden="false" customHeight="true" outlineLevel="0" collapsed="false">
      <c r="A16" s="134" t="n">
        <v>8</v>
      </c>
      <c r="B16" s="114" t="s">
        <v>645</v>
      </c>
      <c r="C16" s="134" t="s">
        <v>178</v>
      </c>
      <c r="D16" s="141" t="n">
        <f aca="false">'03 KV-Vergleich Detail'!C107/'04 Vergleich Hauptgruppen'!C17</f>
        <v>0.0580327868852459</v>
      </c>
      <c r="E16" s="142" t="n">
        <f aca="false">'03 KV-Vergleich Detail'!E107/'04 Vergleich Hauptgruppen'!E17</f>
        <v>0.0586716441435506</v>
      </c>
      <c r="F16" s="143" t="n">
        <v>0.04</v>
      </c>
      <c r="G16" s="143" t="n">
        <v>0.08</v>
      </c>
      <c r="H16" s="137" t="str">
        <f aca="false">IF(D16&lt;$F16,"unter Bandbreite",IF(D16&gt;$G16,"über Bandbreite","im Rahmen"))</f>
        <v>im Rahmen</v>
      </c>
      <c r="I16" s="137" t="str">
        <f aca="false">IF(E16&lt;$F16,"unter Bandbreite",IF(E16&gt;$G16,"über Bandbreite","im Rahmen"))</f>
        <v>im Rahmen</v>
      </c>
      <c r="J16" s="108" t="s">
        <v>646</v>
      </c>
    </row>
    <row r="17" customFormat="false" ht="15" hidden="false" customHeight="true" outlineLevel="0" collapsed="false">
      <c r="A17" s="134" t="n">
        <v>9</v>
      </c>
      <c r="B17" s="114" t="s">
        <v>647</v>
      </c>
      <c r="C17" s="134" t="s">
        <v>178</v>
      </c>
      <c r="D17" s="141" t="n">
        <f aca="false">'03 KV-Vergleich Detail'!C136/'04 Vergleich Hauptgruppen'!C15</f>
        <v>0.0467894736842105</v>
      </c>
      <c r="E17" s="142" t="n">
        <f aca="false">'03 KV-Vergleich Detail'!E136/'04 Vergleich Hauptgruppen'!E15</f>
        <v>0.0472020005365312</v>
      </c>
      <c r="F17" s="143" t="n">
        <v>0.03</v>
      </c>
      <c r="G17" s="143" t="n">
        <v>0.06</v>
      </c>
      <c r="H17" s="137" t="str">
        <f aca="false">IF(D17&lt;$F17,"unter Bandbreite",IF(D17&gt;$G17,"über Bandbreite","im Rahmen"))</f>
        <v>im Rahmen</v>
      </c>
      <c r="I17" s="137" t="str">
        <f aca="false">IF(E17&lt;$F17,"unter Bandbreite",IF(E17&gt;$G17,"über Bandbreite","im Rahmen"))</f>
        <v>im Rahmen</v>
      </c>
      <c r="J17" s="108" t="s">
        <v>648</v>
      </c>
    </row>
    <row r="18" customFormat="false" ht="15" hidden="false" customHeight="true" outlineLevel="0" collapsed="false">
      <c r="A18" s="134" t="n">
        <v>10</v>
      </c>
      <c r="B18" s="114" t="s">
        <v>649</v>
      </c>
      <c r="C18" s="134" t="s">
        <v>178</v>
      </c>
      <c r="D18" s="141" t="n">
        <f aca="false">'03 KV-Vergleich Detail'!C139/'04 Vergleich Hauptgruppen'!C17</f>
        <v>0.0245901639344262</v>
      </c>
      <c r="E18" s="142" t="n">
        <f aca="false">'03 KV-Vergleich Detail'!E139/'04 Vergleich Hauptgruppen'!E17</f>
        <v>0.0248608661625215</v>
      </c>
      <c r="F18" s="143" t="n">
        <v>0.05</v>
      </c>
      <c r="G18" s="143" t="n">
        <v>0.1</v>
      </c>
      <c r="H18" s="137" t="str">
        <f aca="false">IF(D18&lt;$F18,"unter Bandbreite",IF(D18&gt;$G18,"über Bandbreite","im Rahmen"))</f>
        <v>unter Bandbreite</v>
      </c>
      <c r="I18" s="137" t="str">
        <f aca="false">IF(E18&lt;$F18,"unter Bandbreite",IF(E18&gt;$G18,"über Bandbreite","im Rahmen"))</f>
        <v>unter Bandbreite</v>
      </c>
      <c r="J18" s="108" t="s">
        <v>650</v>
      </c>
    </row>
    <row r="19" customFormat="false" ht="15" hidden="false" customHeight="true" outlineLevel="0" collapsed="false">
      <c r="A19" s="134" t="n">
        <v>11</v>
      </c>
      <c r="B19" s="114" t="s">
        <v>651</v>
      </c>
      <c r="C19" s="134" t="s">
        <v>178</v>
      </c>
      <c r="D19" s="141" t="n">
        <f aca="false">'03 KV-Vergleich Detail'!C138/'04 Vergleich Hauptgruppen'!C15</f>
        <v>0.0177631578947368</v>
      </c>
      <c r="E19" s="142" t="n">
        <f aca="false">'03 KV-Vergleich Detail'!E138/'04 Vergleich Hauptgruppen'!E15</f>
        <v>0.0179197696075132</v>
      </c>
      <c r="F19" s="143" t="n">
        <v>0.01</v>
      </c>
      <c r="G19" s="143" t="n">
        <v>0.02</v>
      </c>
      <c r="H19" s="137" t="str">
        <f aca="false">IF(D19&lt;$F19,"unter Bandbreite",IF(D19&gt;$G19,"über Bandbreite","im Rahmen"))</f>
        <v>im Rahmen</v>
      </c>
      <c r="I19" s="137" t="str">
        <f aca="false">IF(E19&lt;$F19,"unter Bandbreite",IF(E19&gt;$G19,"über Bandbreite","im Rahmen"))</f>
        <v>im Rahmen</v>
      </c>
      <c r="J19" s="108" t="s">
        <v>652</v>
      </c>
    </row>
    <row r="20" customFormat="false" ht="15" hidden="false" customHeight="true" outlineLevel="0" collapsed="false">
      <c r="A20" s="134" t="n">
        <v>12</v>
      </c>
      <c r="B20" s="114" t="s">
        <v>653</v>
      </c>
      <c r="C20" s="134" t="s">
        <v>178</v>
      </c>
      <c r="D20" s="141" t="n">
        <f aca="false">'03 KV-Vergleich Detail'!C137/'04 Vergleich Hauptgruppen'!C17</f>
        <v>0.0115737704918033</v>
      </c>
      <c r="E20" s="142" t="n">
        <f aca="false">'03 KV-Vergleich Detail'!E137/'04 Vergleich Hauptgruppen'!E17</f>
        <v>0.0117011810071601</v>
      </c>
      <c r="F20" s="143" t="n">
        <v>0.015</v>
      </c>
      <c r="G20" s="143" t="n">
        <v>0.035</v>
      </c>
      <c r="H20" s="137" t="str">
        <f aca="false">IF(D20&lt;$F20,"unter Bandbreite",IF(D20&gt;$G20,"über Bandbreite","im Rahmen"))</f>
        <v>unter Bandbreite</v>
      </c>
      <c r="I20" s="137" t="str">
        <f aca="false">IF(E20&lt;$F20,"unter Bandbreite",IF(E20&gt;$G20,"über Bandbreite","im Rahmen"))</f>
        <v>unter Bandbreite</v>
      </c>
      <c r="J20" s="108" t="s">
        <v>654</v>
      </c>
    </row>
    <row r="22" customFormat="false" ht="15" hidden="false" customHeight="true" outlineLevel="0" collapsed="false">
      <c r="B22" s="13" t="s">
        <v>655</v>
      </c>
      <c r="C22" s="13"/>
      <c r="D22" s="13"/>
      <c r="E22" s="13"/>
      <c r="F22" s="13"/>
      <c r="G22" s="13"/>
      <c r="H22" s="13"/>
      <c r="I22" s="13"/>
      <c r="J22" s="13"/>
    </row>
    <row r="23" customFormat="false" ht="15" hidden="false" customHeight="true" outlineLevel="0" collapsed="false">
      <c r="B23" s="13"/>
      <c r="C23" s="13"/>
      <c r="D23" s="13"/>
      <c r="E23" s="13"/>
      <c r="F23" s="13"/>
      <c r="G23" s="13"/>
      <c r="H23" s="13"/>
      <c r="I23" s="13"/>
      <c r="J23" s="13"/>
    </row>
    <row r="24" customFormat="false" ht="15" hidden="false" customHeight="true" outlineLevel="0" collapsed="false">
      <c r="B24" s="13"/>
      <c r="C24" s="13"/>
      <c r="D24" s="13"/>
      <c r="E24" s="13"/>
      <c r="F24" s="13"/>
      <c r="G24" s="13"/>
      <c r="H24" s="13"/>
      <c r="I24" s="13"/>
      <c r="J24" s="13"/>
    </row>
    <row r="25" customFormat="false" ht="15" hidden="false" customHeight="true" outlineLevel="0" collapsed="false">
      <c r="B25" s="13"/>
      <c r="C25" s="13"/>
      <c r="D25" s="13"/>
      <c r="E25" s="13"/>
      <c r="F25" s="13"/>
      <c r="G25" s="13"/>
      <c r="H25" s="13"/>
      <c r="I25" s="13"/>
      <c r="J25" s="13"/>
    </row>
  </sheetData>
  <mergeCells count="1">
    <mergeCell ref="B22:J25"/>
  </mergeCells>
  <conditionalFormatting sqref="H9:H20">
    <cfRule type="expression" priority="2" aboveAverage="0" equalAverage="0" bottom="0" percent="0" rank="0" text="" dxfId="27">
      <formula>EXACT(H9,"im Rahmen")</formula>
    </cfRule>
    <cfRule type="expression" priority="3" aboveAverage="0" equalAverage="0" bottom="0" percent="0" rank="0" text="" dxfId="28">
      <formula>EXACT(H9,"über Bandbreite")</formula>
    </cfRule>
    <cfRule type="expression" priority="4" aboveAverage="0" equalAverage="0" bottom="0" percent="0" rank="0" text="" dxfId="29">
      <formula>EXACT(H9,"unter Bandbreite")</formula>
    </cfRule>
  </conditionalFormatting>
  <conditionalFormatting sqref="I9:I20">
    <cfRule type="expression" priority="5" aboveAverage="0" equalAverage="0" bottom="0" percent="0" rank="0" text="" dxfId="27">
      <formula>EXACT(I9,"im Rahmen")</formula>
    </cfRule>
    <cfRule type="expression" priority="6" aboveAverage="0" equalAverage="0" bottom="0" percent="0" rank="0" text="" dxfId="28">
      <formula>EXACT(I9,"über Bandbreite")</formula>
    </cfRule>
    <cfRule type="expression" priority="7" aboveAverage="0" equalAverage="0" bottom="0" percent="0" rank="0" text="" dxfId="29">
      <formula>EXACT(I9,"unter Bandbreite")</formula>
    </cfRule>
  </conditionalFormatting>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D603E"/>
    <pageSetUpPr fitToPage="true"/>
  </sheetPr>
  <dimension ref="A1:J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6"/>
    <col collapsed="false" customWidth="true" hidden="false" outlineLevel="0" max="3" min="3" style="0" width="30"/>
    <col collapsed="false" customWidth="true" hidden="false" outlineLevel="0" max="5" min="4" style="0" width="13"/>
    <col collapsed="false" customWidth="true" hidden="false" outlineLevel="0" max="6" min="6" style="0" width="10"/>
    <col collapsed="false" customWidth="true" hidden="false" outlineLevel="0" max="10" min="7" style="0" width="15"/>
  </cols>
  <sheetData>
    <row r="1" customFormat="false" ht="13.5" hidden="false" customHeight="true" outlineLevel="0" collapsed="false">
      <c r="A1" s="1" t="s">
        <v>0</v>
      </c>
      <c r="B1" s="2"/>
      <c r="C1" s="2"/>
      <c r="D1" s="2"/>
      <c r="E1" s="2"/>
      <c r="F1" s="2"/>
      <c r="G1" s="2"/>
      <c r="H1" s="2"/>
      <c r="I1" s="2"/>
      <c r="J1" s="2"/>
    </row>
    <row r="2" customFormat="false" ht="24" hidden="false" customHeight="true" outlineLevel="0" collapsed="false">
      <c r="A2" s="3" t="s">
        <v>656</v>
      </c>
      <c r="B2" s="2"/>
      <c r="C2" s="2"/>
      <c r="D2" s="2"/>
      <c r="E2" s="2"/>
      <c r="F2" s="2"/>
      <c r="G2" s="2"/>
      <c r="H2" s="2"/>
      <c r="I2" s="2"/>
      <c r="J2" s="2"/>
    </row>
    <row r="3" customFormat="false" ht="15.75" hidden="false" customHeight="true" outlineLevel="0" collapsed="false">
      <c r="A3" s="4" t="s">
        <v>657</v>
      </c>
      <c r="B3" s="2"/>
      <c r="C3" s="2"/>
      <c r="D3" s="2"/>
      <c r="E3" s="2"/>
      <c r="F3" s="2"/>
      <c r="G3" s="2"/>
      <c r="H3" s="2"/>
      <c r="I3" s="2"/>
      <c r="J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658</v>
      </c>
      <c r="B7" s="8"/>
      <c r="C7" s="8"/>
      <c r="D7" s="8"/>
      <c r="E7" s="8"/>
      <c r="F7" s="8"/>
      <c r="G7" s="8"/>
      <c r="H7" s="8"/>
      <c r="I7" s="8"/>
      <c r="J7" s="8"/>
    </row>
    <row r="8" customFormat="false" ht="33.75" hidden="false" customHeight="true" outlineLevel="0" collapsed="false">
      <c r="A8" s="39"/>
      <c r="B8" s="39" t="s">
        <v>659</v>
      </c>
      <c r="C8" s="39" t="s">
        <v>660</v>
      </c>
      <c r="D8" s="39" t="s">
        <v>661</v>
      </c>
      <c r="E8" s="39" t="s">
        <v>662</v>
      </c>
      <c r="F8" s="39" t="s">
        <v>663</v>
      </c>
      <c r="G8" s="39" t="s">
        <v>664</v>
      </c>
      <c r="H8" s="39" t="s">
        <v>665</v>
      </c>
      <c r="I8" s="39" t="s">
        <v>666</v>
      </c>
      <c r="J8" s="39" t="s">
        <v>639</v>
      </c>
    </row>
    <row r="9" customFormat="false" ht="15.75" hidden="false" customHeight="true" outlineLevel="0" collapsed="false">
      <c r="A9" s="114"/>
      <c r="B9" s="144" t="s">
        <v>667</v>
      </c>
      <c r="C9" s="114" t="s">
        <v>668</v>
      </c>
      <c r="D9" s="136" t="n">
        <v>4958</v>
      </c>
      <c r="E9" s="136" t="n">
        <v>4081</v>
      </c>
      <c r="F9" s="105" t="n">
        <f aca="false">E9/$E$12</f>
        <v>0.166666666666667</v>
      </c>
      <c r="G9" s="136" t="n">
        <v>834582.5</v>
      </c>
      <c r="H9" s="136" t="n">
        <v>1885300</v>
      </c>
      <c r="I9" s="89" t="n">
        <f aca="false">G9+H9</f>
        <v>2719882.5</v>
      </c>
      <c r="J9" s="89" t="n">
        <f aca="false">I9/D9</f>
        <v>548.584610730133</v>
      </c>
    </row>
    <row r="10" customFormat="false" ht="15.75" hidden="false" customHeight="true" outlineLevel="0" collapsed="false">
      <c r="A10" s="114"/>
      <c r="B10" s="144" t="s">
        <v>669</v>
      </c>
      <c r="C10" s="114" t="s">
        <v>670</v>
      </c>
      <c r="D10" s="136" t="n">
        <v>8669</v>
      </c>
      <c r="E10" s="136" t="n">
        <v>8162</v>
      </c>
      <c r="F10" s="105" t="n">
        <f aca="false">E10/$E$12</f>
        <v>0.333333333333333</v>
      </c>
      <c r="G10" s="136" t="n">
        <v>1669165</v>
      </c>
      <c r="H10" s="136" t="n">
        <v>2257205</v>
      </c>
      <c r="I10" s="89" t="n">
        <f aca="false">G10+H10</f>
        <v>3926370</v>
      </c>
      <c r="J10" s="89" t="n">
        <f aca="false">I10/D10</f>
        <v>452.920752105202</v>
      </c>
    </row>
    <row r="11" customFormat="false" ht="15.75" hidden="false" customHeight="true" outlineLevel="0" collapsed="false">
      <c r="A11" s="114"/>
      <c r="B11" s="144" t="s">
        <v>671</v>
      </c>
      <c r="C11" s="114" t="s">
        <v>672</v>
      </c>
      <c r="D11" s="136" t="n">
        <v>13491</v>
      </c>
      <c r="E11" s="136" t="n">
        <v>12243</v>
      </c>
      <c r="F11" s="105" t="n">
        <f aca="false">E11/$E$12</f>
        <v>0.5</v>
      </c>
      <c r="G11" s="136" t="n">
        <v>2503747.5</v>
      </c>
      <c r="H11" s="136" t="n">
        <v>5700000</v>
      </c>
      <c r="I11" s="89" t="n">
        <f aca="false">G11+H11</f>
        <v>8203747.5</v>
      </c>
      <c r="J11" s="89" t="n">
        <f aca="false">I11/D11</f>
        <v>608.090393595731</v>
      </c>
    </row>
    <row r="12" customFormat="false" ht="15" hidden="false" customHeight="false" outlineLevel="0" collapsed="false">
      <c r="A12" s="126"/>
      <c r="B12" s="121" t="s">
        <v>673</v>
      </c>
      <c r="C12" s="126"/>
      <c r="D12" s="122" t="n">
        <f aca="false">SUM(D9:D11)</f>
        <v>27118</v>
      </c>
      <c r="E12" s="122" t="n">
        <f aca="false">SUM(E9:E11)</f>
        <v>24486</v>
      </c>
      <c r="F12" s="123" t="n">
        <f aca="false">SUM(F9:F11)</f>
        <v>1</v>
      </c>
      <c r="G12" s="122" t="n">
        <f aca="false">SUM(G9:G11)</f>
        <v>5007495</v>
      </c>
      <c r="H12" s="122" t="n">
        <f aca="false">SUM(H9:H11)</f>
        <v>9842505</v>
      </c>
      <c r="I12" s="122" t="n">
        <f aca="false">SUM(I9:I11)</f>
        <v>14850000</v>
      </c>
      <c r="J12" s="122" t="n">
        <f aca="false">I12/D12</f>
        <v>547.606755660447</v>
      </c>
    </row>
    <row r="14" customFormat="false" ht="15" hidden="false" customHeight="false" outlineLevel="0" collapsed="false">
      <c r="B14" s="145" t="s">
        <v>674</v>
      </c>
      <c r="I14" s="60" t="n">
        <f aca="false">'03 KV-Vergleich Detail'!C15</f>
        <v>150000</v>
      </c>
    </row>
    <row r="15" customFormat="false" ht="15" hidden="false" customHeight="false" outlineLevel="0" collapsed="false">
      <c r="B15" s="110" t="s">
        <v>675</v>
      </c>
      <c r="I15" s="59" t="n">
        <f aca="false">I12+I14</f>
        <v>15000000</v>
      </c>
      <c r="J15" s="146" t="str">
        <f aca="false">IF(I15='03 KV-Vergleich Detail'!C8,"= BKP 0","ABWEICHUNG")</f>
        <v>= BKP 0</v>
      </c>
    </row>
    <row r="17" customFormat="false" ht="18" hidden="false" customHeight="true" outlineLevel="0" collapsed="false">
      <c r="A17" s="7" t="s">
        <v>676</v>
      </c>
      <c r="B17" s="8"/>
      <c r="C17" s="8"/>
      <c r="D17" s="8"/>
      <c r="E17" s="8"/>
      <c r="F17" s="8"/>
      <c r="G17" s="8"/>
      <c r="H17" s="8"/>
      <c r="I17" s="8"/>
      <c r="J17" s="8"/>
    </row>
    <row r="18" customFormat="false" ht="15" hidden="false" customHeight="true" outlineLevel="0" collapsed="false">
      <c r="B18" s="114" t="s">
        <v>156</v>
      </c>
      <c r="C18" s="114"/>
      <c r="D18" s="114"/>
      <c r="E18" s="114"/>
      <c r="F18" s="89" t="n">
        <f aca="false">D12</f>
        <v>27118</v>
      </c>
      <c r="G18" s="85" t="s">
        <v>157</v>
      </c>
    </row>
    <row r="19" customFormat="false" ht="15" hidden="false" customHeight="true" outlineLevel="0" collapsed="false">
      <c r="B19" s="114" t="s">
        <v>677</v>
      </c>
      <c r="C19" s="114"/>
      <c r="D19" s="114"/>
      <c r="E19" s="114"/>
      <c r="F19" s="89" t="n">
        <f aca="false">'02 Annahmen'!C17</f>
        <v>23716</v>
      </c>
      <c r="G19" s="85" t="s">
        <v>157</v>
      </c>
    </row>
    <row r="20" customFormat="false" ht="15" hidden="false" customHeight="true" outlineLevel="0" collapsed="false">
      <c r="B20" s="114" t="s">
        <v>10</v>
      </c>
      <c r="C20" s="114"/>
      <c r="D20" s="114"/>
      <c r="E20" s="114"/>
      <c r="F20" s="89" t="n">
        <f aca="false">E12</f>
        <v>24486</v>
      </c>
      <c r="G20" s="85" t="s">
        <v>157</v>
      </c>
    </row>
    <row r="21" customFormat="false" ht="15" hidden="false" customHeight="true" outlineLevel="0" collapsed="false">
      <c r="B21" s="114" t="s">
        <v>678</v>
      </c>
      <c r="C21" s="114"/>
      <c r="D21" s="114"/>
      <c r="E21" s="114"/>
      <c r="F21" s="147" t="n">
        <f aca="false">E12/D12</f>
        <v>0.902942694889004</v>
      </c>
      <c r="G21" s="85" t="s">
        <v>163</v>
      </c>
    </row>
    <row r="22" customFormat="false" ht="15" hidden="false" customHeight="true" outlineLevel="0" collapsed="false">
      <c r="B22" s="114" t="s">
        <v>679</v>
      </c>
      <c r="C22" s="114"/>
      <c r="D22" s="114"/>
      <c r="E22" s="114"/>
      <c r="F22" s="147" t="n">
        <f aca="false">E12/'02 Annahmen'!C17</f>
        <v>1.03246753246753</v>
      </c>
      <c r="G22" s="85" t="s">
        <v>163</v>
      </c>
    </row>
    <row r="23" customFormat="false" ht="15" hidden="false" customHeight="true" outlineLevel="0" collapsed="false">
      <c r="B23" s="114" t="s">
        <v>680</v>
      </c>
      <c r="C23" s="114"/>
      <c r="D23" s="114"/>
      <c r="E23" s="114"/>
      <c r="F23" s="89" t="n">
        <f aca="false">'02 Annahmen'!C20</f>
        <v>70000</v>
      </c>
      <c r="G23" s="85" t="s">
        <v>166</v>
      </c>
    </row>
    <row r="24" customFormat="false" ht="15" hidden="false" customHeight="true" outlineLevel="0" collapsed="false">
      <c r="B24" s="114" t="s">
        <v>681</v>
      </c>
      <c r="C24" s="114"/>
      <c r="D24" s="114"/>
      <c r="E24" s="114"/>
      <c r="F24" s="147" t="n">
        <f aca="false">'02 Annahmen'!C20/E12</f>
        <v>2.8587764436821</v>
      </c>
      <c r="G24" s="85" t="s">
        <v>682</v>
      </c>
    </row>
    <row r="25" customFormat="false" ht="15" hidden="false" customHeight="true" outlineLevel="0" collapsed="false">
      <c r="B25" s="114" t="s">
        <v>683</v>
      </c>
      <c r="C25" s="114"/>
      <c r="D25" s="114"/>
      <c r="E25" s="114"/>
      <c r="F25" s="89" t="n">
        <f aca="false">'02 Annahmen'!C29/E12</f>
        <v>3076.68831168831</v>
      </c>
      <c r="G25" s="85" t="s">
        <v>684</v>
      </c>
    </row>
    <row r="26" customFormat="false" ht="15" hidden="false" customHeight="true" outlineLevel="0" collapsed="false">
      <c r="B26" s="114" t="s">
        <v>685</v>
      </c>
      <c r="C26" s="114"/>
      <c r="D26" s="114"/>
      <c r="E26" s="114"/>
      <c r="F26" s="89" t="n">
        <f aca="false">'02 Annahmen'!C30/E12</f>
        <v>612.594952217594</v>
      </c>
      <c r="G26" s="85" t="s">
        <v>684</v>
      </c>
    </row>
    <row r="28" customFormat="false" ht="18" hidden="false" customHeight="true" outlineLevel="0" collapsed="false">
      <c r="A28" s="7" t="s">
        <v>686</v>
      </c>
      <c r="B28" s="8"/>
      <c r="C28" s="8"/>
      <c r="D28" s="8"/>
      <c r="E28" s="8"/>
      <c r="F28" s="8"/>
      <c r="G28" s="8"/>
      <c r="H28" s="8"/>
      <c r="I28" s="8"/>
      <c r="J28" s="8"/>
    </row>
    <row r="29" customFormat="false" ht="19.5" hidden="false" customHeight="true" outlineLevel="0" collapsed="false">
      <c r="A29" s="39"/>
      <c r="B29" s="39" t="s">
        <v>687</v>
      </c>
      <c r="C29" s="39" t="s">
        <v>688</v>
      </c>
      <c r="D29" s="39" t="s">
        <v>684</v>
      </c>
      <c r="E29" s="39" t="s">
        <v>689</v>
      </c>
      <c r="F29" s="39"/>
      <c r="G29" s="39"/>
      <c r="H29" s="39"/>
      <c r="I29" s="39"/>
      <c r="J29" s="39"/>
    </row>
    <row r="30" customFormat="false" ht="15.75" hidden="false" customHeight="true" outlineLevel="0" collapsed="false">
      <c r="A30" s="40"/>
      <c r="B30" s="114" t="s">
        <v>690</v>
      </c>
      <c r="C30" s="136" t="n">
        <v>23716</v>
      </c>
      <c r="D30" s="140" t="n">
        <v>200</v>
      </c>
      <c r="E30" s="135" t="n">
        <f aca="false">C30*D30</f>
        <v>4743200</v>
      </c>
    </row>
    <row r="31" customFormat="false" ht="15.75" hidden="false" customHeight="true" outlineLevel="0" collapsed="false">
      <c r="A31" s="40"/>
      <c r="B31" s="114" t="s">
        <v>691</v>
      </c>
      <c r="C31" s="136" t="n">
        <v>23716</v>
      </c>
      <c r="D31" s="140" t="n">
        <v>480</v>
      </c>
      <c r="E31" s="135" t="n">
        <f aca="false">C31*D31</f>
        <v>11383680</v>
      </c>
    </row>
    <row r="32" customFormat="false" ht="15.75" hidden="false" customHeight="true" outlineLevel="0" collapsed="false">
      <c r="A32" s="40"/>
      <c r="B32" s="114" t="s">
        <v>692</v>
      </c>
      <c r="C32" s="136" t="n">
        <v>23716</v>
      </c>
      <c r="D32" s="140" t="n">
        <v>632.5</v>
      </c>
      <c r="E32" s="135" t="n">
        <f aca="false">C32*D32</f>
        <v>15000370</v>
      </c>
    </row>
    <row r="33" customFormat="false" ht="15" hidden="false" customHeight="false" outlineLevel="0" collapsed="false">
      <c r="B33" s="110" t="s">
        <v>693</v>
      </c>
      <c r="E33" s="59" t="n">
        <f aca="false">E32-E30</f>
        <v>10257170</v>
      </c>
    </row>
    <row r="34" customFormat="false" ht="15" hidden="false" customHeight="false" outlineLevel="0" collapsed="false">
      <c r="B34" s="100" t="s">
        <v>694</v>
      </c>
      <c r="E34" s="112" t="n">
        <f aca="false">E32/E30-1</f>
        <v>2.1625</v>
      </c>
    </row>
    <row r="35" customFormat="false" ht="15" hidden="false" customHeight="false" outlineLevel="0" collapsed="false">
      <c r="B35" s="100" t="s">
        <v>695</v>
      </c>
      <c r="E35" s="148" t="n">
        <f aca="false">E33/C30</f>
        <v>432.5</v>
      </c>
    </row>
    <row r="37" customFormat="false" ht="20.25" hidden="false" customHeight="true" outlineLevel="0" collapsed="false">
      <c r="B37" s="13" t="s">
        <v>696</v>
      </c>
      <c r="C37" s="13"/>
      <c r="D37" s="13"/>
      <c r="E37" s="13"/>
      <c r="F37" s="13"/>
      <c r="G37" s="13"/>
      <c r="H37" s="13"/>
      <c r="I37" s="13"/>
      <c r="J37" s="13"/>
    </row>
    <row r="38" customFormat="false" ht="20.25" hidden="false" customHeight="true" outlineLevel="0" collapsed="false">
      <c r="B38" s="13"/>
      <c r="C38" s="13"/>
      <c r="D38" s="13"/>
      <c r="E38" s="13"/>
      <c r="F38" s="13"/>
      <c r="G38" s="13"/>
      <c r="H38" s="13"/>
      <c r="I38" s="13"/>
      <c r="J38" s="13"/>
    </row>
    <row r="39" customFormat="false" ht="20.25" hidden="false" customHeight="true" outlineLevel="0" collapsed="false">
      <c r="B39" s="13"/>
      <c r="C39" s="13"/>
      <c r="D39" s="13"/>
      <c r="E39" s="13"/>
      <c r="F39" s="13"/>
      <c r="G39" s="13"/>
      <c r="H39" s="13"/>
      <c r="I39" s="13"/>
      <c r="J39" s="13"/>
    </row>
  </sheetData>
  <mergeCells count="10">
    <mergeCell ref="B18:E18"/>
    <mergeCell ref="B19:E19"/>
    <mergeCell ref="B20:E20"/>
    <mergeCell ref="B21:E21"/>
    <mergeCell ref="B22:E22"/>
    <mergeCell ref="B23:E23"/>
    <mergeCell ref="B24:E24"/>
    <mergeCell ref="B25:E25"/>
    <mergeCell ref="B26:E26"/>
    <mergeCell ref="B37:J39"/>
  </mergeCells>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A7D20"/>
    <pageSetUpPr fitToPage="true"/>
  </sheetPr>
  <dimension ref="A1:I5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46"/>
    <col collapsed="false" customWidth="true" hidden="false" outlineLevel="0" max="3" min="3" style="0" width="12"/>
    <col collapsed="false" customWidth="true" hidden="false" outlineLevel="0" max="5" min="4" style="0" width="13"/>
    <col collapsed="false" customWidth="true" hidden="false" outlineLevel="0" max="6" min="6" style="0" width="15"/>
    <col collapsed="false" customWidth="true" hidden="false" outlineLevel="0" max="7" min="7" style="0" width="17"/>
    <col collapsed="false" customWidth="true" hidden="false" outlineLevel="0" max="8" min="8" style="0" width="10"/>
    <col collapsed="false" customWidth="true" hidden="false" outlineLevel="0" max="9" min="9" style="0" width="46"/>
  </cols>
  <sheetData>
    <row r="1" customFormat="false" ht="13.5" hidden="false" customHeight="true" outlineLevel="0" collapsed="false">
      <c r="A1" s="1" t="s">
        <v>0</v>
      </c>
      <c r="B1" s="2"/>
      <c r="C1" s="2"/>
      <c r="D1" s="2"/>
      <c r="E1" s="2"/>
      <c r="F1" s="2"/>
      <c r="G1" s="2"/>
      <c r="H1" s="2"/>
      <c r="I1" s="2"/>
    </row>
    <row r="2" customFormat="false" ht="24" hidden="false" customHeight="true" outlineLevel="0" collapsed="false">
      <c r="A2" s="3" t="s">
        <v>697</v>
      </c>
      <c r="B2" s="2"/>
      <c r="C2" s="2"/>
      <c r="D2" s="2"/>
      <c r="E2" s="2"/>
      <c r="F2" s="2"/>
      <c r="G2" s="2"/>
      <c r="H2" s="2"/>
      <c r="I2" s="2"/>
    </row>
    <row r="3" customFormat="false" ht="15.75" hidden="false" customHeight="true" outlineLevel="0" collapsed="false">
      <c r="A3" s="4" t="s">
        <v>698</v>
      </c>
      <c r="B3" s="2"/>
      <c r="C3" s="2"/>
      <c r="D3" s="2"/>
      <c r="E3" s="2"/>
      <c r="F3" s="2"/>
      <c r="G3" s="2"/>
      <c r="H3" s="2"/>
      <c r="I3" s="2"/>
    </row>
    <row r="4" customFormat="false" ht="7.5" hidden="false" customHeight="true" outlineLevel="0" collapsed="false"/>
    <row r="5" customFormat="false" ht="12" hidden="false" customHeight="true" outlineLevel="0" collapsed="false">
      <c r="A5" s="44" t="s">
        <v>133</v>
      </c>
      <c r="B5" s="45" t="s">
        <v>134</v>
      </c>
      <c r="D5" s="46" t="s">
        <v>135</v>
      </c>
      <c r="F5" s="47" t="s">
        <v>136</v>
      </c>
    </row>
    <row r="7" customFormat="false" ht="18" hidden="false" customHeight="true" outlineLevel="0" collapsed="false">
      <c r="A7" s="7" t="s">
        <v>699</v>
      </c>
      <c r="B7" s="8"/>
      <c r="C7" s="8"/>
      <c r="D7" s="8"/>
      <c r="E7" s="8"/>
      <c r="F7" s="8"/>
      <c r="G7" s="8"/>
      <c r="H7" s="8"/>
      <c r="I7" s="8"/>
    </row>
    <row r="8" customFormat="false" ht="36" hidden="false" customHeight="true" outlineLevel="0" collapsed="false">
      <c r="A8" s="39"/>
      <c r="B8" s="39" t="s">
        <v>700</v>
      </c>
      <c r="C8" s="39" t="s">
        <v>701</v>
      </c>
      <c r="D8" s="39" t="s">
        <v>702</v>
      </c>
      <c r="E8" s="39" t="s">
        <v>703</v>
      </c>
      <c r="F8" s="39" t="s">
        <v>704</v>
      </c>
      <c r="G8" s="39" t="s">
        <v>705</v>
      </c>
      <c r="H8" s="39" t="s">
        <v>706</v>
      </c>
      <c r="I8" s="39" t="s">
        <v>245</v>
      </c>
    </row>
    <row r="9" customFormat="false" ht="15" hidden="false" customHeight="true" outlineLevel="0" collapsed="false">
      <c r="A9" s="40"/>
      <c r="B9" s="114" t="s">
        <v>707</v>
      </c>
      <c r="C9" s="149" t="n">
        <f aca="false">'02 Annahmen'!C21</f>
        <v>7</v>
      </c>
      <c r="D9" s="150" t="n">
        <f aca="false">'02 Annahmen'!C37</f>
        <v>1921</v>
      </c>
      <c r="E9" s="151" t="n">
        <f aca="false">C9*D9</f>
        <v>13447</v>
      </c>
      <c r="F9" s="115" t="n">
        <f aca="false">'02 Annahmen'!C38</f>
        <v>140</v>
      </c>
      <c r="G9" s="135" t="n">
        <f aca="false">E9*F9</f>
        <v>1882580</v>
      </c>
      <c r="H9" s="116" t="n">
        <f aca="false">G9/$G$14</f>
        <v>0.475150903533297</v>
      </c>
      <c r="I9" s="14" t="s">
        <v>708</v>
      </c>
    </row>
    <row r="10" customFormat="false" ht="15" hidden="false" customHeight="true" outlineLevel="0" collapsed="false">
      <c r="A10" s="40"/>
      <c r="B10" s="114" t="s">
        <v>709</v>
      </c>
      <c r="C10" s="149" t="n">
        <f aca="false">'02 Annahmen'!C21</f>
        <v>7</v>
      </c>
      <c r="D10" s="150" t="n">
        <f aca="false">'02 Annahmen'!C39</f>
        <v>814</v>
      </c>
      <c r="E10" s="151" t="n">
        <f aca="false">C10*D10</f>
        <v>5698</v>
      </c>
      <c r="F10" s="115" t="n">
        <f aca="false">'02 Annahmen'!C40</f>
        <v>280</v>
      </c>
      <c r="G10" s="135" t="n">
        <f aca="false">E10*F10</f>
        <v>1595440</v>
      </c>
      <c r="H10" s="116" t="n">
        <f aca="false">G10/$G$14</f>
        <v>0.402678641828322</v>
      </c>
      <c r="I10" s="14" t="s">
        <v>710</v>
      </c>
    </row>
    <row r="11" customFormat="false" ht="15" hidden="false" customHeight="true" outlineLevel="0" collapsed="false">
      <c r="A11" s="40"/>
      <c r="B11" s="114" t="s">
        <v>711</v>
      </c>
      <c r="C11" s="149" t="n">
        <f aca="false">'02 Annahmen'!C21</f>
        <v>7</v>
      </c>
      <c r="D11" s="150" t="n">
        <f aca="false">'02 Annahmen'!C41</f>
        <v>16.67</v>
      </c>
      <c r="E11" s="151" t="n">
        <f aca="false">C11*D11</f>
        <v>116.69</v>
      </c>
      <c r="F11" s="115" t="n">
        <f aca="false">'02 Annahmen'!C42*12</f>
        <v>2040</v>
      </c>
      <c r="G11" s="135" t="n">
        <f aca="false">E11*F11</f>
        <v>238047.6</v>
      </c>
      <c r="H11" s="116" t="n">
        <f aca="false">G11/$G$14</f>
        <v>0.0600816603936793</v>
      </c>
      <c r="I11" s="14" t="s">
        <v>712</v>
      </c>
    </row>
    <row r="12" customFormat="false" ht="15" hidden="false" customHeight="true" outlineLevel="0" collapsed="false">
      <c r="A12" s="40"/>
      <c r="B12" s="114" t="s">
        <v>713</v>
      </c>
      <c r="C12" s="149" t="n">
        <v>1</v>
      </c>
      <c r="D12" s="150" t="n">
        <f aca="false">'02 Annahmen'!C43</f>
        <v>1400</v>
      </c>
      <c r="E12" s="151" t="n">
        <f aca="false">C12*D12</f>
        <v>1400</v>
      </c>
      <c r="F12" s="115" t="n">
        <f aca="false">'02 Annahmen'!C44</f>
        <v>150</v>
      </c>
      <c r="G12" s="135" t="n">
        <f aca="false">E12*F12</f>
        <v>210000</v>
      </c>
      <c r="H12" s="116" t="n">
        <f aca="false">G12/$G$14</f>
        <v>0.0530026292332821</v>
      </c>
      <c r="I12" s="14" t="s">
        <v>714</v>
      </c>
    </row>
    <row r="13" customFormat="false" ht="15" hidden="false" customHeight="true" outlineLevel="0" collapsed="false">
      <c r="A13" s="40"/>
      <c r="B13" s="114" t="s">
        <v>715</v>
      </c>
      <c r="C13" s="149" t="n">
        <v>1</v>
      </c>
      <c r="D13" s="150" t="n">
        <f aca="false">'02 Annahmen'!C45</f>
        <v>12</v>
      </c>
      <c r="E13" s="151" t="n">
        <f aca="false">C13*D13</f>
        <v>12</v>
      </c>
      <c r="F13" s="115" t="n">
        <f aca="false">'02 Annahmen'!C46*12</f>
        <v>3000</v>
      </c>
      <c r="G13" s="135" t="n">
        <f aca="false">E13*F13</f>
        <v>36000</v>
      </c>
      <c r="H13" s="116" t="n">
        <f aca="false">G13/$G$14</f>
        <v>0.00908616501141979</v>
      </c>
      <c r="I13" s="14" t="s">
        <v>712</v>
      </c>
    </row>
    <row r="14" customFormat="false" ht="15" hidden="false" customHeight="false" outlineLevel="0" collapsed="false">
      <c r="A14" s="126"/>
      <c r="B14" s="121" t="s">
        <v>716</v>
      </c>
      <c r="C14" s="126"/>
      <c r="D14" s="126"/>
      <c r="E14" s="126"/>
      <c r="F14" s="126"/>
      <c r="G14" s="152" t="n">
        <f aca="false">SUM(G9:G13)</f>
        <v>3962067.6</v>
      </c>
      <c r="H14" s="123" t="n">
        <f aca="false">G14/G14</f>
        <v>1</v>
      </c>
      <c r="I14" s="126"/>
    </row>
    <row r="15" customFormat="false" ht="15" hidden="false" customHeight="false" outlineLevel="0" collapsed="false">
      <c r="B15" s="100" t="s">
        <v>717</v>
      </c>
      <c r="E15" s="153" t="n">
        <f aca="false">E9+E10+E12</f>
        <v>20545</v>
      </c>
      <c r="F15" s="154" t="s">
        <v>718</v>
      </c>
      <c r="G15" s="148" t="n">
        <f aca="false">(G9+G10+G12)/E15</f>
        <v>179.50936967632</v>
      </c>
    </row>
    <row r="17" customFormat="false" ht="18" hidden="false" customHeight="true" outlineLevel="0" collapsed="false">
      <c r="A17" s="7" t="s">
        <v>719</v>
      </c>
      <c r="B17" s="8"/>
      <c r="C17" s="8"/>
      <c r="D17" s="8"/>
      <c r="E17" s="8"/>
      <c r="F17" s="8"/>
      <c r="G17" s="8"/>
      <c r="H17" s="8"/>
      <c r="I17" s="8"/>
    </row>
    <row r="18" customFormat="false" ht="15" hidden="false" customHeight="true" outlineLevel="0" collapsed="false">
      <c r="B18" s="10" t="s">
        <v>720</v>
      </c>
      <c r="C18" s="40"/>
      <c r="D18" s="40"/>
      <c r="E18" s="40"/>
      <c r="F18" s="40"/>
      <c r="G18" s="135" t="n">
        <f aca="false">G14</f>
        <v>3962067.6</v>
      </c>
      <c r="H18" s="85"/>
      <c r="I18" s="14"/>
    </row>
    <row r="19" customFormat="false" ht="15" hidden="false" customHeight="true" outlineLevel="0" collapsed="false">
      <c r="B19" s="114" t="s">
        <v>721</v>
      </c>
      <c r="C19" s="40"/>
      <c r="D19" s="40"/>
      <c r="E19" s="40"/>
      <c r="F19" s="40"/>
      <c r="G19" s="89" t="n">
        <f aca="false">-G18*'02 Annahmen'!C49</f>
        <v>-198103.38</v>
      </c>
      <c r="H19" s="85"/>
      <c r="I19" s="14" t="s">
        <v>722</v>
      </c>
    </row>
    <row r="20" customFormat="false" ht="15" hidden="false" customHeight="true" outlineLevel="0" collapsed="false">
      <c r="B20" s="10" t="s">
        <v>723</v>
      </c>
      <c r="C20" s="40"/>
      <c r="D20" s="40"/>
      <c r="E20" s="40"/>
      <c r="F20" s="40"/>
      <c r="G20" s="135" t="n">
        <f aca="false">G18+G19</f>
        <v>3763964.22</v>
      </c>
      <c r="H20" s="85"/>
      <c r="I20" s="14"/>
    </row>
    <row r="21" customFormat="false" ht="15" hidden="false" customHeight="true" outlineLevel="0" collapsed="false">
      <c r="B21" s="114" t="s">
        <v>724</v>
      </c>
      <c r="C21" s="40"/>
      <c r="D21" s="40"/>
      <c r="E21" s="40"/>
      <c r="F21" s="40"/>
      <c r="G21" s="89" t="n">
        <f aca="false">-G18*'02 Annahmen'!C50</f>
        <v>-475448.112</v>
      </c>
      <c r="H21" s="85"/>
      <c r="I21" s="14" t="s">
        <v>725</v>
      </c>
    </row>
    <row r="22" customFormat="false" ht="15" hidden="false" customHeight="true" outlineLevel="0" collapsed="false">
      <c r="B22" s="10" t="s">
        <v>726</v>
      </c>
      <c r="C22" s="40"/>
      <c r="D22" s="40"/>
      <c r="E22" s="40"/>
      <c r="F22" s="40"/>
      <c r="G22" s="135" t="n">
        <f aca="false">G20+G21</f>
        <v>3288516.108</v>
      </c>
      <c r="H22" s="85"/>
      <c r="I22" s="14" t="s">
        <v>727</v>
      </c>
    </row>
    <row r="24" customFormat="false" ht="18" hidden="false" customHeight="true" outlineLevel="0" collapsed="false">
      <c r="A24" s="7" t="s">
        <v>728</v>
      </c>
      <c r="B24" s="8"/>
      <c r="C24" s="8"/>
      <c r="D24" s="8"/>
      <c r="E24" s="8"/>
      <c r="F24" s="8"/>
      <c r="G24" s="8"/>
      <c r="H24" s="8"/>
      <c r="I24" s="8"/>
    </row>
    <row r="25" customFormat="false" ht="15" hidden="false" customHeight="true" outlineLevel="0" collapsed="false">
      <c r="B25" s="10" t="s">
        <v>729</v>
      </c>
      <c r="C25" s="40"/>
      <c r="D25" s="40"/>
      <c r="E25" s="40"/>
      <c r="F25" s="40"/>
      <c r="G25" s="104" t="n">
        <f aca="false">'02 Annahmen'!C29</f>
        <v>75335790</v>
      </c>
      <c r="H25" s="85"/>
      <c r="I25" s="14" t="s">
        <v>730</v>
      </c>
    </row>
    <row r="26" customFormat="false" ht="15" hidden="false" customHeight="true" outlineLevel="0" collapsed="false">
      <c r="B26" s="114" t="s">
        <v>731</v>
      </c>
      <c r="C26" s="40"/>
      <c r="D26" s="40"/>
      <c r="E26" s="40"/>
      <c r="F26" s="40"/>
      <c r="G26" s="115" t="n">
        <f aca="false">'02 Annahmen'!C33</f>
        <v>70814791.8593895</v>
      </c>
      <c r="H26" s="85"/>
      <c r="I26" s="14" t="s">
        <v>732</v>
      </c>
    </row>
    <row r="27" customFormat="false" ht="15" hidden="false" customHeight="true" outlineLevel="0" collapsed="false">
      <c r="B27" s="114" t="s">
        <v>733</v>
      </c>
      <c r="C27" s="40"/>
      <c r="D27" s="40"/>
      <c r="E27" s="40"/>
      <c r="F27" s="40"/>
      <c r="G27" s="155" t="n">
        <f aca="false">G18/G25</f>
        <v>0.0525921026380688</v>
      </c>
      <c r="H27" s="85"/>
      <c r="I27" s="14" t="s">
        <v>734</v>
      </c>
    </row>
    <row r="28" customFormat="false" ht="15" hidden="false" customHeight="true" outlineLevel="0" collapsed="false">
      <c r="B28" s="10" t="s">
        <v>735</v>
      </c>
      <c r="C28" s="40"/>
      <c r="D28" s="40"/>
      <c r="E28" s="40"/>
      <c r="F28" s="40"/>
      <c r="G28" s="156" t="n">
        <f aca="false">G18/G26</f>
        <v>0.0559497175091204</v>
      </c>
      <c r="H28" s="85"/>
      <c r="I28" s="14" t="s">
        <v>736</v>
      </c>
    </row>
    <row r="29" customFormat="false" ht="15" hidden="false" customHeight="true" outlineLevel="0" collapsed="false">
      <c r="B29" s="114" t="s">
        <v>737</v>
      </c>
      <c r="C29" s="40"/>
      <c r="D29" s="40"/>
      <c r="E29" s="40"/>
      <c r="F29" s="40"/>
      <c r="G29" s="155" t="n">
        <f aca="false">G22/G25</f>
        <v>0.0436514451895971</v>
      </c>
      <c r="H29" s="85"/>
      <c r="I29" s="14" t="s">
        <v>738</v>
      </c>
    </row>
    <row r="30" customFormat="false" ht="15" hidden="false" customHeight="true" outlineLevel="0" collapsed="false">
      <c r="B30" s="10" t="s">
        <v>739</v>
      </c>
      <c r="C30" s="40"/>
      <c r="D30" s="40"/>
      <c r="E30" s="40"/>
      <c r="F30" s="40"/>
      <c r="G30" s="156" t="n">
        <f aca="false">G22/G26</f>
        <v>0.0464382655325699</v>
      </c>
      <c r="H30" s="85"/>
      <c r="I30" s="14" t="s">
        <v>736</v>
      </c>
    </row>
    <row r="32" customFormat="false" ht="18" hidden="false" customHeight="true" outlineLevel="0" collapsed="false">
      <c r="A32" s="7" t="s">
        <v>740</v>
      </c>
      <c r="B32" s="8"/>
      <c r="C32" s="8"/>
      <c r="D32" s="8"/>
      <c r="E32" s="8"/>
      <c r="F32" s="8"/>
      <c r="G32" s="8"/>
      <c r="H32" s="8"/>
      <c r="I32" s="8"/>
    </row>
    <row r="33" customFormat="false" ht="15" hidden="false" customHeight="true" outlineLevel="0" collapsed="false">
      <c r="B33" s="114" t="s">
        <v>741</v>
      </c>
      <c r="C33" s="40"/>
      <c r="D33" s="40"/>
      <c r="E33" s="40"/>
      <c r="F33" s="40"/>
      <c r="G33" s="157" t="n">
        <f aca="false">'02 Annahmen'!C51</f>
        <v>0.0425</v>
      </c>
      <c r="H33" s="85"/>
      <c r="I33" s="14" t="s">
        <v>742</v>
      </c>
    </row>
    <row r="34" customFormat="false" ht="15" hidden="false" customHeight="true" outlineLevel="0" collapsed="false">
      <c r="B34" s="10" t="s">
        <v>743</v>
      </c>
      <c r="C34" s="40"/>
      <c r="D34" s="40"/>
      <c r="E34" s="40"/>
      <c r="F34" s="40"/>
      <c r="G34" s="135" t="n">
        <f aca="false">G22/G33</f>
        <v>77376849.6</v>
      </c>
      <c r="H34" s="85"/>
      <c r="I34" s="14"/>
    </row>
    <row r="35" customFormat="false" ht="15" hidden="false" customHeight="true" outlineLevel="0" collapsed="false">
      <c r="B35" s="114" t="s">
        <v>744</v>
      </c>
      <c r="C35" s="40"/>
      <c r="D35" s="40"/>
      <c r="E35" s="40"/>
      <c r="F35" s="40"/>
      <c r="G35" s="89" t="n">
        <f aca="false">-G34*'02 Annahmen'!C52</f>
        <v>-1160652.744</v>
      </c>
      <c r="H35" s="85"/>
      <c r="I35" s="14"/>
    </row>
    <row r="36" customFormat="false" ht="15" hidden="false" customHeight="true" outlineLevel="0" collapsed="false">
      <c r="B36" s="10" t="s">
        <v>745</v>
      </c>
      <c r="C36" s="40"/>
      <c r="D36" s="40"/>
      <c r="E36" s="40"/>
      <c r="F36" s="40"/>
      <c r="G36" s="135" t="n">
        <f aca="false">G34+G35</f>
        <v>76216196.856</v>
      </c>
      <c r="H36" s="85"/>
      <c r="I36" s="14"/>
    </row>
    <row r="37" customFormat="false" ht="15" hidden="false" customHeight="true" outlineLevel="0" collapsed="false">
      <c r="B37" s="10" t="s">
        <v>746</v>
      </c>
      <c r="C37" s="40"/>
      <c r="D37" s="40"/>
      <c r="E37" s="40"/>
      <c r="F37" s="40"/>
      <c r="G37" s="106" t="n">
        <f aca="false">G36-G25</f>
        <v>880406.855999991</v>
      </c>
      <c r="H37" s="85"/>
      <c r="I37" s="14"/>
    </row>
    <row r="38" customFormat="false" ht="15" hidden="false" customHeight="true" outlineLevel="0" collapsed="false">
      <c r="B38" s="10" t="s">
        <v>747</v>
      </c>
      <c r="C38" s="40"/>
      <c r="D38" s="40"/>
      <c r="E38" s="40"/>
      <c r="F38" s="40"/>
      <c r="G38" s="158" t="n">
        <f aca="false">G37/G25</f>
        <v>0.0116864355706629</v>
      </c>
      <c r="H38" s="85"/>
      <c r="I38" s="14" t="s">
        <v>748</v>
      </c>
    </row>
    <row r="39" customFormat="false" ht="15" hidden="false" customHeight="true" outlineLevel="0" collapsed="false">
      <c r="B39" s="114" t="s">
        <v>749</v>
      </c>
      <c r="C39" s="40"/>
      <c r="D39" s="40"/>
      <c r="E39" s="40"/>
      <c r="F39" s="40"/>
      <c r="G39" s="117" t="n">
        <f aca="false">G36-G26</f>
        <v>5401404.99661054</v>
      </c>
      <c r="H39" s="85"/>
      <c r="I39" s="14" t="s">
        <v>750</v>
      </c>
    </row>
    <row r="40" customFormat="false" ht="15" hidden="false" customHeight="true" outlineLevel="0" collapsed="false">
      <c r="B40" s="114" t="s">
        <v>751</v>
      </c>
      <c r="C40" s="40"/>
      <c r="D40" s="40"/>
      <c r="E40" s="40"/>
      <c r="F40" s="40"/>
      <c r="G40" s="159" t="n">
        <f aca="false">G39/G26</f>
        <v>0.076275095284268</v>
      </c>
      <c r="H40" s="85"/>
      <c r="I40" s="14"/>
    </row>
    <row r="41" customFormat="false" ht="15" hidden="false" customHeight="true" outlineLevel="0" collapsed="false">
      <c r="B41" s="114" t="s">
        <v>228</v>
      </c>
      <c r="C41" s="40"/>
      <c r="D41" s="40"/>
      <c r="E41" s="40"/>
      <c r="F41" s="40"/>
      <c r="G41" s="115" t="n">
        <f aca="false">'02 Annahmen'!C58</f>
        <v>26367526.5</v>
      </c>
      <c r="H41" s="85"/>
      <c r="I41" s="14"/>
    </row>
    <row r="42" customFormat="false" ht="15" hidden="false" customHeight="true" outlineLevel="0" collapsed="false">
      <c r="B42" s="114" t="s">
        <v>752</v>
      </c>
      <c r="C42" s="40"/>
      <c r="D42" s="40"/>
      <c r="E42" s="40"/>
      <c r="F42" s="40"/>
      <c r="G42" s="159" t="n">
        <f aca="false">G37/G41</f>
        <v>0.0333898159161797</v>
      </c>
      <c r="H42" s="85"/>
      <c r="I42" s="14" t="s">
        <v>753</v>
      </c>
    </row>
    <row r="44" customFormat="false" ht="18" hidden="false" customHeight="true" outlineLevel="0" collapsed="false">
      <c r="A44" s="7" t="s">
        <v>754</v>
      </c>
      <c r="B44" s="8"/>
      <c r="C44" s="8"/>
      <c r="D44" s="8"/>
      <c r="E44" s="8"/>
      <c r="F44" s="8"/>
      <c r="G44" s="8"/>
      <c r="H44" s="8"/>
      <c r="I44" s="8"/>
    </row>
    <row r="45" customFormat="false" ht="15" hidden="false" customHeight="true" outlineLevel="0" collapsed="false">
      <c r="B45" s="10" t="s">
        <v>755</v>
      </c>
      <c r="C45" s="40"/>
      <c r="D45" s="40"/>
      <c r="E45" s="40"/>
      <c r="F45" s="40"/>
      <c r="G45" s="156" t="n">
        <f aca="false">G22/(G25/(1-'02 Annahmen'!C52))</f>
        <v>0.0429966735117532</v>
      </c>
      <c r="H45" s="85"/>
      <c r="I45" s="14" t="s">
        <v>756</v>
      </c>
    </row>
    <row r="46" customFormat="false" ht="15" hidden="false" customHeight="true" outlineLevel="0" collapsed="false">
      <c r="B46" s="114" t="s">
        <v>757</v>
      </c>
      <c r="C46" s="40"/>
      <c r="D46" s="40"/>
      <c r="E46" s="40"/>
      <c r="F46" s="40"/>
      <c r="G46" s="160" t="n">
        <f aca="false">G45-G33</f>
        <v>0.000496673511753178</v>
      </c>
      <c r="H46" s="85"/>
      <c r="I46" s="14" t="s">
        <v>758</v>
      </c>
    </row>
    <row r="47" customFormat="false" ht="15" hidden="false" customHeight="true" outlineLevel="0" collapsed="false">
      <c r="B47" s="10" t="s">
        <v>759</v>
      </c>
      <c r="C47" s="40"/>
      <c r="D47" s="40"/>
      <c r="E47" s="40"/>
      <c r="F47" s="40"/>
      <c r="G47" s="135" t="n">
        <f aca="false">(G25/(1-'02 Annahmen'!C52))*G33/((1-'02 Annahmen'!C49)*(1-'02 Annahmen'!C50))</f>
        <v>3888192.59587594</v>
      </c>
      <c r="H47" s="85"/>
      <c r="I47" s="14"/>
    </row>
    <row r="48" customFormat="false" ht="15" hidden="false" customHeight="true" outlineLevel="0" collapsed="false">
      <c r="B48" s="114" t="s">
        <v>760</v>
      </c>
      <c r="C48" s="40"/>
      <c r="D48" s="40"/>
      <c r="E48" s="40"/>
      <c r="F48" s="40"/>
      <c r="G48" s="117" t="n">
        <f aca="false">G18-G47</f>
        <v>73875.0041240617</v>
      </c>
      <c r="H48" s="85"/>
      <c r="I48" s="14"/>
    </row>
    <row r="49" customFormat="false" ht="15" hidden="false" customHeight="true" outlineLevel="0" collapsed="false">
      <c r="B49" s="114" t="s">
        <v>761</v>
      </c>
      <c r="C49" s="40"/>
      <c r="D49" s="40"/>
      <c r="E49" s="40"/>
      <c r="F49" s="40"/>
      <c r="G49" s="159" t="n">
        <f aca="false">G48/G18</f>
        <v>0.0186455688247373</v>
      </c>
      <c r="H49" s="85"/>
      <c r="I49" s="14" t="s">
        <v>762</v>
      </c>
    </row>
    <row r="50" customFormat="false" ht="15" hidden="false" customHeight="true" outlineLevel="0" collapsed="false">
      <c r="B50" s="114" t="s">
        <v>763</v>
      </c>
      <c r="C50" s="40"/>
      <c r="D50" s="40"/>
      <c r="E50" s="40"/>
      <c r="F50" s="40"/>
      <c r="G50" s="89" t="n">
        <f aca="false">G36</f>
        <v>76216196.856</v>
      </c>
      <c r="H50" s="85"/>
      <c r="I50" s="14" t="s">
        <v>764</v>
      </c>
    </row>
    <row r="51" customFormat="false" ht="15" hidden="false" customHeight="true" outlineLevel="0" collapsed="false">
      <c r="B51" s="114" t="s">
        <v>765</v>
      </c>
      <c r="C51" s="40"/>
      <c r="D51" s="40"/>
      <c r="E51" s="40"/>
      <c r="F51" s="40"/>
      <c r="G51" s="159" t="n">
        <f aca="false">G50/G25-1</f>
        <v>0.011686435570663</v>
      </c>
      <c r="H51" s="85"/>
      <c r="I51" s="14" t="s">
        <v>766</v>
      </c>
    </row>
    <row r="53" customFormat="false" ht="15" hidden="false" customHeight="true" outlineLevel="0" collapsed="false">
      <c r="B53" s="13" t="s">
        <v>767</v>
      </c>
      <c r="C53" s="13"/>
      <c r="D53" s="13"/>
      <c r="E53" s="13"/>
      <c r="F53" s="13"/>
      <c r="G53" s="13"/>
      <c r="H53" s="13"/>
      <c r="I53" s="13"/>
    </row>
    <row r="54" customFormat="false" ht="15" hidden="false" customHeight="true" outlineLevel="0" collapsed="false">
      <c r="B54" s="13"/>
      <c r="C54" s="13"/>
      <c r="D54" s="13"/>
      <c r="E54" s="13"/>
      <c r="F54" s="13"/>
      <c r="G54" s="13"/>
      <c r="H54" s="13"/>
      <c r="I54" s="13"/>
    </row>
    <row r="55" customFormat="false" ht="15" hidden="false" customHeight="true" outlineLevel="0" collapsed="false">
      <c r="B55" s="13"/>
      <c r="C55" s="13"/>
      <c r="D55" s="13"/>
      <c r="E55" s="13"/>
      <c r="F55" s="13"/>
      <c r="G55" s="13"/>
      <c r="H55" s="13"/>
      <c r="I55" s="13"/>
    </row>
    <row r="56" customFormat="false" ht="15" hidden="false" customHeight="true" outlineLevel="0" collapsed="false">
      <c r="B56" s="13"/>
      <c r="C56" s="13"/>
      <c r="D56" s="13"/>
      <c r="E56" s="13"/>
      <c r="F56" s="13"/>
      <c r="G56" s="13"/>
      <c r="H56" s="13"/>
      <c r="I56" s="13"/>
    </row>
    <row r="57" customFormat="false" ht="15" hidden="false" customHeight="true" outlineLevel="0" collapsed="false">
      <c r="B57" s="13"/>
      <c r="C57" s="13"/>
      <c r="D57" s="13"/>
      <c r="E57" s="13"/>
      <c r="F57" s="13"/>
      <c r="G57" s="13"/>
      <c r="H57" s="13"/>
      <c r="I57" s="13"/>
    </row>
  </sheetData>
  <mergeCells count="1">
    <mergeCell ref="B53:I57"/>
  </mergeCells>
  <printOptions headings="false" gridLines="false" gridLinesSet="true" horizontalCentered="tru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&amp;L&amp;7 Campus Elgg · KV-Vergleich und Investorenanalyse · vertraulich&amp;R&amp;7 &amp;P /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2026-08-31T12:13:28Z</dcterms:created>
  <dc:creator>openpyxl</dc:creator>
  <dc:description/>
  <dc:language>en-US</dc:language>
  <cp:lastModifiedBy/>
  <dcterms:modified xsi:type="dcterms:W3CDTF">2026-08-31T12:13:32Z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